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2 Propuesta Tecnologias Tratamiento y Piscicultura\Actualizacion 2023\Contenidos 23\"/>
    </mc:Choice>
  </mc:AlternateContent>
  <xr:revisionPtr revIDLastSave="0" documentId="13_ncr:1_{6452A37F-C340-4B29-B1D3-5C67A5F5B6B0}" xr6:coauthVersionLast="47" xr6:coauthVersionMax="47" xr10:uidLastSave="{00000000-0000-0000-0000-000000000000}"/>
  <bookViews>
    <workbookView xWindow="-120" yWindow="-120" windowWidth="19440" windowHeight="15000" tabRatio="906" xr2:uid="{00000000-000D-0000-FFFF-FFFF00000000}"/>
  </bookViews>
  <sheets>
    <sheet name="Planta Pinbasa" sheetId="26" r:id="rId1"/>
    <sheet name="Lecho de Secado" sheetId="34" r:id="rId2"/>
    <sheet name="Tubería de Lodos" sheetId="32" r:id="rId3"/>
    <sheet name="Tubería de Llenado" sheetId="35" r:id="rId4"/>
    <sheet name="Agua- T°C" sheetId="31" r:id="rId5"/>
  </sheets>
  <definedNames>
    <definedName name="_Hlk51745083" localSheetId="0">'Planta Pinbasa'!#REF!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4" i="26" l="1"/>
  <c r="G27" i="35"/>
  <c r="G12" i="34" l="1"/>
  <c r="G14" i="34" s="1"/>
  <c r="E12" i="34"/>
  <c r="E14" i="34" s="1"/>
  <c r="G26" i="34"/>
  <c r="H89" i="26"/>
  <c r="G134" i="26"/>
  <c r="H133" i="26"/>
  <c r="E134" i="26"/>
  <c r="H122" i="26"/>
  <c r="H121" i="26"/>
  <c r="H120" i="26"/>
  <c r="H119" i="26"/>
  <c r="G126" i="26"/>
  <c r="G123" i="26"/>
  <c r="E123" i="26"/>
  <c r="G77" i="26"/>
  <c r="H131" i="26"/>
  <c r="G75" i="32"/>
  <c r="G74" i="32"/>
  <c r="G73" i="32"/>
  <c r="G72" i="32"/>
  <c r="G71" i="32"/>
  <c r="G70" i="32"/>
  <c r="G69" i="32"/>
  <c r="G68" i="32"/>
  <c r="G67" i="32"/>
  <c r="G66" i="32"/>
  <c r="G65" i="32"/>
  <c r="G64" i="32"/>
  <c r="G63" i="32"/>
  <c r="G62" i="32"/>
  <c r="G61" i="32"/>
  <c r="G60" i="32"/>
  <c r="G59" i="32"/>
  <c r="G58" i="32"/>
  <c r="G57" i="32"/>
  <c r="G56" i="32"/>
  <c r="G55" i="32"/>
  <c r="G54" i="32"/>
  <c r="G53" i="32"/>
  <c r="G52" i="32"/>
  <c r="G36" i="32" s="1"/>
  <c r="G51" i="32"/>
  <c r="G50" i="32"/>
  <c r="H39" i="32"/>
  <c r="G41" i="32"/>
  <c r="G42" i="32" s="1"/>
  <c r="G46" i="32" s="1"/>
  <c r="G47" i="32" s="1"/>
  <c r="G38" i="32"/>
  <c r="G28" i="32"/>
  <c r="H8" i="32"/>
  <c r="H7" i="32"/>
  <c r="G16" i="32"/>
  <c r="G20" i="32" s="1"/>
  <c r="G15" i="32"/>
  <c r="G9" i="32"/>
  <c r="H9" i="32" s="1"/>
  <c r="E11" i="34"/>
  <c r="E41" i="32"/>
  <c r="E42" i="32" s="1"/>
  <c r="E28" i="32"/>
  <c r="E9" i="32"/>
  <c r="E13" i="32" s="1"/>
  <c r="E6" i="32" s="1"/>
  <c r="E38" i="32"/>
  <c r="H45" i="32"/>
  <c r="G43" i="32"/>
  <c r="E43" i="32"/>
  <c r="E44" i="32" s="1"/>
  <c r="B51" i="32"/>
  <c r="B52" i="32" s="1"/>
  <c r="B53" i="32" s="1"/>
  <c r="B54" i="32" s="1"/>
  <c r="B55" i="32" s="1"/>
  <c r="B56" i="32" s="1"/>
  <c r="B57" i="32" s="1"/>
  <c r="B58" i="32" s="1"/>
  <c r="B59" i="32" s="1"/>
  <c r="B60" i="32" s="1"/>
  <c r="B61" i="32" s="1"/>
  <c r="B62" i="32" s="1"/>
  <c r="B63" i="32" s="1"/>
  <c r="B64" i="32" s="1"/>
  <c r="B65" i="32" s="1"/>
  <c r="B66" i="32" s="1"/>
  <c r="B67" i="32" s="1"/>
  <c r="B68" i="32" s="1"/>
  <c r="B69" i="32" s="1"/>
  <c r="B70" i="32" s="1"/>
  <c r="B71" i="32" s="1"/>
  <c r="B72" i="32" s="1"/>
  <c r="B73" i="32" s="1"/>
  <c r="B74" i="32" s="1"/>
  <c r="B75" i="32" s="1"/>
  <c r="H40" i="32"/>
  <c r="H37" i="32"/>
  <c r="H3" i="32"/>
  <c r="E77" i="26"/>
  <c r="H43" i="34"/>
  <c r="G42" i="34"/>
  <c r="G173" i="26"/>
  <c r="E173" i="26"/>
  <c r="H12" i="34" l="1"/>
  <c r="H14" i="34"/>
  <c r="H134" i="26"/>
  <c r="H123" i="26"/>
  <c r="G127" i="26"/>
  <c r="H47" i="32"/>
  <c r="G13" i="32"/>
  <c r="G6" i="32" s="1"/>
  <c r="H6" i="32" s="1"/>
  <c r="G12" i="32"/>
  <c r="H41" i="32"/>
  <c r="G19" i="32"/>
  <c r="G21" i="32" s="1"/>
  <c r="G24" i="32" s="1"/>
  <c r="E12" i="32"/>
  <c r="E46" i="32"/>
  <c r="E47" i="32" s="1"/>
  <c r="H43" i="32"/>
  <c r="G44" i="32"/>
  <c r="H44" i="32" s="1"/>
  <c r="E42" i="34"/>
  <c r="E174" i="26" s="1"/>
  <c r="E26" i="34"/>
  <c r="G56" i="26"/>
  <c r="G32" i="35" s="1"/>
  <c r="B48" i="35"/>
  <c r="B49" i="35" s="1"/>
  <c r="B50" i="35" s="1"/>
  <c r="B51" i="35" s="1"/>
  <c r="B52" i="35" s="1"/>
  <c r="B53" i="35" s="1"/>
  <c r="B54" i="35" s="1"/>
  <c r="B55" i="35" s="1"/>
  <c r="B56" i="35" s="1"/>
  <c r="B57" i="35" s="1"/>
  <c r="B58" i="35" s="1"/>
  <c r="B59" i="35" s="1"/>
  <c r="B60" i="35" s="1"/>
  <c r="B61" i="35" s="1"/>
  <c r="G31" i="35"/>
  <c r="E31" i="35"/>
  <c r="E56" i="26"/>
  <c r="E32" i="35" s="1"/>
  <c r="E16" i="32"/>
  <c r="H152" i="26"/>
  <c r="H148" i="26"/>
  <c r="G150" i="26"/>
  <c r="E150" i="26"/>
  <c r="H41" i="34"/>
  <c r="H40" i="34"/>
  <c r="H4" i="34"/>
  <c r="H77" i="26"/>
  <c r="H46" i="32" l="1"/>
  <c r="H42" i="32"/>
  <c r="H150" i="26"/>
  <c r="H32" i="35"/>
  <c r="E57" i="26"/>
  <c r="G57" i="26"/>
  <c r="H173" i="26"/>
  <c r="H24" i="34"/>
  <c r="G73" i="26" l="1"/>
  <c r="H26" i="34"/>
  <c r="E73" i="26"/>
  <c r="H125" i="26"/>
  <c r="E126" i="26"/>
  <c r="E127" i="26" s="1"/>
  <c r="G69" i="26"/>
  <c r="E69" i="26"/>
  <c r="H101" i="26"/>
  <c r="G98" i="26"/>
  <c r="G174" i="26" s="1"/>
  <c r="E103" i="26"/>
  <c r="G103" i="26"/>
  <c r="H165" i="26"/>
  <c r="H158" i="26"/>
  <c r="H155" i="26"/>
  <c r="H146" i="26"/>
  <c r="H145" i="26"/>
  <c r="G147" i="26"/>
  <c r="E147" i="26"/>
  <c r="E149" i="26" s="1"/>
  <c r="H29" i="32"/>
  <c r="H28" i="32"/>
  <c r="H18" i="32"/>
  <c r="H17" i="32"/>
  <c r="H11" i="32"/>
  <c r="G26" i="32"/>
  <c r="D127" i="26" l="1"/>
  <c r="H127" i="26"/>
  <c r="E151" i="26"/>
  <c r="G149" i="26"/>
  <c r="G151" i="26" s="1"/>
  <c r="G153" i="26" s="1"/>
  <c r="G154" i="26" s="1"/>
  <c r="G164" i="26" s="1"/>
  <c r="G166" i="26" s="1"/>
  <c r="H126" i="26"/>
  <c r="H25" i="34"/>
  <c r="H98" i="26"/>
  <c r="H103" i="26"/>
  <c r="H147" i="26"/>
  <c r="H83" i="26"/>
  <c r="H149" i="26" l="1"/>
  <c r="H151" i="26"/>
  <c r="E153" i="26"/>
  <c r="H153" i="26" l="1"/>
  <c r="E154" i="26"/>
  <c r="H154" i="26" l="1"/>
  <c r="E164" i="26"/>
  <c r="H28" i="35"/>
  <c r="H20" i="35"/>
  <c r="H17" i="35"/>
  <c r="H8" i="35"/>
  <c r="H5" i="35"/>
  <c r="G29" i="35"/>
  <c r="G19" i="35"/>
  <c r="G7" i="35"/>
  <c r="H37" i="34"/>
  <c r="H13" i="34"/>
  <c r="H32" i="34"/>
  <c r="H21" i="34"/>
  <c r="H19" i="34"/>
  <c r="H18" i="34"/>
  <c r="H6" i="34"/>
  <c r="H5" i="34"/>
  <c r="H3" i="34"/>
  <c r="G20" i="34"/>
  <c r="G11" i="34"/>
  <c r="G7" i="34"/>
  <c r="H142" i="26"/>
  <c r="H141" i="26"/>
  <c r="H140" i="26"/>
  <c r="H124" i="26"/>
  <c r="H113" i="26"/>
  <c r="H108" i="26"/>
  <c r="H93" i="26"/>
  <c r="H92" i="26"/>
  <c r="H90" i="26"/>
  <c r="H88" i="26"/>
  <c r="H87" i="26"/>
  <c r="H86" i="26"/>
  <c r="H75" i="26"/>
  <c r="H73" i="26"/>
  <c r="H68" i="26"/>
  <c r="H63" i="26"/>
  <c r="H61" i="26"/>
  <c r="H55" i="26"/>
  <c r="H54" i="26"/>
  <c r="H53" i="26"/>
  <c r="H48" i="26"/>
  <c r="H47" i="26"/>
  <c r="H42" i="26"/>
  <c r="H40" i="26"/>
  <c r="H39" i="26"/>
  <c r="H36" i="26"/>
  <c r="H34" i="26"/>
  <c r="H29" i="26"/>
  <c r="H28" i="26"/>
  <c r="H25" i="26"/>
  <c r="H24" i="26"/>
  <c r="H22" i="26"/>
  <c r="H20" i="26"/>
  <c r="H18" i="26"/>
  <c r="H16" i="26"/>
  <c r="H14" i="26"/>
  <c r="G156" i="26"/>
  <c r="G143" i="26"/>
  <c r="G144" i="26" s="1"/>
  <c r="G157" i="26" s="1"/>
  <c r="G109" i="26"/>
  <c r="G76" i="26"/>
  <c r="G70" i="26"/>
  <c r="G168" i="26"/>
  <c r="G52" i="26"/>
  <c r="G50" i="26"/>
  <c r="G45" i="26"/>
  <c r="G46" i="26" s="1"/>
  <c r="G41" i="26"/>
  <c r="G43" i="26" s="1"/>
  <c r="G35" i="26"/>
  <c r="G26" i="26"/>
  <c r="G21" i="26"/>
  <c r="G94" i="26" s="1"/>
  <c r="G19" i="26"/>
  <c r="G15" i="26"/>
  <c r="G8" i="34" l="1"/>
  <c r="G116" i="26" s="1"/>
  <c r="E166" i="26"/>
  <c r="H166" i="26" s="1"/>
  <c r="H164" i="26"/>
  <c r="G30" i="26"/>
  <c r="G31" i="26" s="1"/>
  <c r="G51" i="26"/>
  <c r="G37" i="26"/>
  <c r="G27" i="26"/>
  <c r="G9" i="34"/>
  <c r="G17" i="26"/>
  <c r="G22" i="34"/>
  <c r="G78" i="26"/>
  <c r="G49" i="26"/>
  <c r="G107" i="26"/>
  <c r="G71" i="26"/>
  <c r="G91" i="26"/>
  <c r="E35" i="26"/>
  <c r="E37" i="26" s="1"/>
  <c r="D37" i="26" s="1"/>
  <c r="G100" i="26" l="1"/>
  <c r="G95" i="26"/>
  <c r="G96" i="26" s="1"/>
  <c r="G129" i="26" s="1"/>
  <c r="G130" i="26"/>
  <c r="G132" i="26" s="1"/>
  <c r="G10" i="34"/>
  <c r="G99" i="26"/>
  <c r="G58" i="26"/>
  <c r="G27" i="32"/>
  <c r="H35" i="26"/>
  <c r="H37" i="26"/>
  <c r="G110" i="26"/>
  <c r="G111" i="26"/>
  <c r="G105" i="26"/>
  <c r="G15" i="34" s="1"/>
  <c r="G16" i="34" s="1"/>
  <c r="G80" i="26"/>
  <c r="G81" i="26" s="1"/>
  <c r="E109" i="26"/>
  <c r="H109" i="26" s="1"/>
  <c r="E26" i="32"/>
  <c r="H26" i="32" s="1"/>
  <c r="E15" i="32"/>
  <c r="H15" i="32" s="1"/>
  <c r="H10" i="32"/>
  <c r="E19" i="35"/>
  <c r="H19" i="35" s="1"/>
  <c r="E7" i="35"/>
  <c r="H7" i="35" s="1"/>
  <c r="D75" i="26"/>
  <c r="G84" i="26" s="1"/>
  <c r="H11" i="34"/>
  <c r="E168" i="26"/>
  <c r="E19" i="26"/>
  <c r="H19" i="26" s="1"/>
  <c r="E50" i="26"/>
  <c r="E45" i="26"/>
  <c r="H45" i="26" s="1"/>
  <c r="H56" i="26"/>
  <c r="G28" i="34" l="1"/>
  <c r="G29" i="34" s="1"/>
  <c r="G30" i="34" s="1"/>
  <c r="G17" i="34"/>
  <c r="G27" i="34" s="1"/>
  <c r="G102" i="26"/>
  <c r="G97" i="26"/>
  <c r="H69" i="26"/>
  <c r="G6" i="35"/>
  <c r="G30" i="35" s="1"/>
  <c r="G33" i="35" s="1"/>
  <c r="G59" i="26"/>
  <c r="G30" i="32"/>
  <c r="G159" i="26"/>
  <c r="E51" i="26"/>
  <c r="H51" i="26" s="1"/>
  <c r="H50" i="26"/>
  <c r="G74" i="26"/>
  <c r="G171" i="26" s="1"/>
  <c r="G112" i="26"/>
  <c r="G114" i="26" s="1"/>
  <c r="G128" i="26" s="1"/>
  <c r="G115" i="26" l="1"/>
  <c r="H168" i="26"/>
  <c r="G82" i="26"/>
  <c r="G65" i="26"/>
  <c r="E27" i="32"/>
  <c r="E31" i="32" s="1"/>
  <c r="H5" i="32"/>
  <c r="G160" i="26"/>
  <c r="G169" i="26"/>
  <c r="G32" i="32"/>
  <c r="G35" i="32" s="1"/>
  <c r="G18" i="35"/>
  <c r="G9" i="35"/>
  <c r="G10" i="35"/>
  <c r="H13" i="32"/>
  <c r="E26" i="26"/>
  <c r="H31" i="32" l="1"/>
  <c r="G136" i="26"/>
  <c r="H12" i="32"/>
  <c r="G34" i="32"/>
  <c r="G25" i="32" s="1"/>
  <c r="G11" i="35"/>
  <c r="G22" i="35"/>
  <c r="G21" i="35"/>
  <c r="G23" i="32"/>
  <c r="G14" i="32" s="1"/>
  <c r="G4" i="32" s="1"/>
  <c r="H26" i="26"/>
  <c r="E20" i="32"/>
  <c r="H16" i="32"/>
  <c r="E30" i="32"/>
  <c r="H27" i="32"/>
  <c r="E19" i="32"/>
  <c r="H20" i="32" l="1"/>
  <c r="G138" i="26"/>
  <c r="G137" i="26" s="1"/>
  <c r="G33" i="34"/>
  <c r="G34" i="34" s="1"/>
  <c r="G35" i="34" s="1"/>
  <c r="E32" i="32"/>
  <c r="E35" i="32" s="1"/>
  <c r="H35" i="32" s="1"/>
  <c r="H30" i="32"/>
  <c r="E21" i="32"/>
  <c r="E24" i="32" s="1"/>
  <c r="H24" i="32" s="1"/>
  <c r="H19" i="32"/>
  <c r="G23" i="35"/>
  <c r="G26" i="35"/>
  <c r="G13" i="35"/>
  <c r="G25" i="35"/>
  <c r="G14" i="35"/>
  <c r="G15" i="35"/>
  <c r="G38" i="34" l="1"/>
  <c r="G36" i="34"/>
  <c r="G4" i="35"/>
  <c r="G16" i="35"/>
  <c r="E23" i="32"/>
  <c r="E14" i="32" s="1"/>
  <c r="H21" i="32"/>
  <c r="E34" i="32"/>
  <c r="E25" i="32" s="1"/>
  <c r="H32" i="32"/>
  <c r="E29" i="35"/>
  <c r="H29" i="35" l="1"/>
  <c r="H25" i="32"/>
  <c r="H34" i="32"/>
  <c r="H23" i="32"/>
  <c r="H31" i="35" l="1"/>
  <c r="D50" i="32" l="1"/>
  <c r="H38" i="32"/>
  <c r="E7" i="34"/>
  <c r="E20" i="34"/>
  <c r="E70" i="26"/>
  <c r="D51" i="32" l="1"/>
  <c r="E50" i="32"/>
  <c r="H70" i="26"/>
  <c r="E8" i="34"/>
  <c r="E100" i="26" s="1"/>
  <c r="H100" i="26" s="1"/>
  <c r="H7" i="34"/>
  <c r="E22" i="34"/>
  <c r="H22" i="34" s="1"/>
  <c r="H20" i="34"/>
  <c r="E27" i="26"/>
  <c r="H27" i="26" s="1"/>
  <c r="E9" i="34"/>
  <c r="E10" i="34" s="1"/>
  <c r="H10" i="34" s="1"/>
  <c r="E78" i="26"/>
  <c r="E107" i="26"/>
  <c r="H107" i="26" s="1"/>
  <c r="E91" i="26"/>
  <c r="H91" i="26" l="1"/>
  <c r="E51" i="32"/>
  <c r="D52" i="32"/>
  <c r="E116" i="26"/>
  <c r="H78" i="26"/>
  <c r="H9" i="34"/>
  <c r="H8" i="34"/>
  <c r="D78" i="26"/>
  <c r="E80" i="26"/>
  <c r="H80" i="26" s="1"/>
  <c r="D109" i="26"/>
  <c r="E143" i="26"/>
  <c r="D53" i="32" l="1"/>
  <c r="E52" i="32"/>
  <c r="E144" i="26"/>
  <c r="H143" i="26"/>
  <c r="H116" i="26"/>
  <c r="G117" i="26"/>
  <c r="D80" i="26"/>
  <c r="E156" i="26"/>
  <c r="H156" i="26" s="1"/>
  <c r="D54" i="32" l="1"/>
  <c r="E53" i="32"/>
  <c r="E157" i="26"/>
  <c r="H157" i="26" s="1"/>
  <c r="H144" i="26"/>
  <c r="E46" i="26"/>
  <c r="H46" i="26" s="1"/>
  <c r="H57" i="26"/>
  <c r="E52" i="26"/>
  <c r="D55" i="32" l="1"/>
  <c r="E54" i="32"/>
  <c r="D52" i="26"/>
  <c r="H52" i="26"/>
  <c r="E49" i="26"/>
  <c r="E41" i="26"/>
  <c r="H41" i="26" s="1"/>
  <c r="D56" i="32" l="1"/>
  <c r="E55" i="32"/>
  <c r="E58" i="26"/>
  <c r="E6" i="35" s="1"/>
  <c r="H49" i="26"/>
  <c r="E71" i="26"/>
  <c r="H71" i="26" s="1"/>
  <c r="E43" i="26"/>
  <c r="H43" i="26" s="1"/>
  <c r="E76" i="26"/>
  <c r="E81" i="26" s="1"/>
  <c r="D57" i="32" l="1"/>
  <c r="E56" i="32"/>
  <c r="H6" i="35"/>
  <c r="E30" i="35"/>
  <c r="E74" i="26"/>
  <c r="H58" i="26"/>
  <c r="D76" i="26"/>
  <c r="H76" i="26"/>
  <c r="E159" i="26"/>
  <c r="H159" i="26" s="1"/>
  <c r="E59" i="26"/>
  <c r="H59" i="26" s="1"/>
  <c r="E18" i="35"/>
  <c r="H18" i="35" s="1"/>
  <c r="E21" i="26"/>
  <c r="H21" i="26" s="1"/>
  <c r="D58" i="32" l="1"/>
  <c r="E57" i="32"/>
  <c r="H30" i="35"/>
  <c r="E33" i="35"/>
  <c r="E171" i="26"/>
  <c r="H171" i="26" s="1"/>
  <c r="D74" i="26"/>
  <c r="E160" i="26"/>
  <c r="H160" i="26" s="1"/>
  <c r="E169" i="26"/>
  <c r="E65" i="26"/>
  <c r="H65" i="26" s="1"/>
  <c r="H74" i="26"/>
  <c r="D81" i="26"/>
  <c r="H81" i="26"/>
  <c r="E94" i="26"/>
  <c r="H94" i="26" s="1"/>
  <c r="D59" i="32" l="1"/>
  <c r="E58" i="32"/>
  <c r="H169" i="26"/>
  <c r="B37" i="35"/>
  <c r="B38" i="35" s="1"/>
  <c r="B39" i="35" s="1"/>
  <c r="B40" i="35" s="1"/>
  <c r="B41" i="35" s="1"/>
  <c r="B42" i="35" s="1"/>
  <c r="B43" i="35" s="1"/>
  <c r="B44" i="35" s="1"/>
  <c r="B45" i="35" s="1"/>
  <c r="B46" i="35" s="1"/>
  <c r="B47" i="35" s="1"/>
  <c r="D60" i="32" l="1"/>
  <c r="E59" i="32"/>
  <c r="E45" i="31"/>
  <c r="E44" i="31"/>
  <c r="E43" i="31"/>
  <c r="E42" i="31"/>
  <c r="E41" i="31"/>
  <c r="E40" i="31"/>
  <c r="E39" i="31"/>
  <c r="E38" i="31"/>
  <c r="E37" i="31"/>
  <c r="E36" i="31"/>
  <c r="E35" i="31"/>
  <c r="E34" i="31"/>
  <c r="E33" i="31"/>
  <c r="E32" i="31"/>
  <c r="E31" i="31"/>
  <c r="E30" i="31"/>
  <c r="E29" i="31"/>
  <c r="E28" i="31"/>
  <c r="E27" i="31"/>
  <c r="E26" i="31"/>
  <c r="E25" i="31"/>
  <c r="E24" i="31"/>
  <c r="E23" i="31"/>
  <c r="E22" i="31"/>
  <c r="E21" i="31"/>
  <c r="E20" i="31"/>
  <c r="E19" i="31"/>
  <c r="E18" i="31"/>
  <c r="E17" i="31"/>
  <c r="E16" i="31"/>
  <c r="E15" i="31"/>
  <c r="E14" i="31"/>
  <c r="E13" i="31"/>
  <c r="E12" i="31"/>
  <c r="E11" i="31"/>
  <c r="E10" i="31"/>
  <c r="E9" i="31"/>
  <c r="E8" i="31"/>
  <c r="E7" i="31"/>
  <c r="B7" i="31"/>
  <c r="B8" i="31" s="1"/>
  <c r="B9" i="31" s="1"/>
  <c r="B10" i="31" s="1"/>
  <c r="B11" i="31" s="1"/>
  <c r="B12" i="31" s="1"/>
  <c r="B13" i="31" s="1"/>
  <c r="B14" i="31" s="1"/>
  <c r="B15" i="31" s="1"/>
  <c r="B16" i="31" s="1"/>
  <c r="B17" i="31" s="1"/>
  <c r="B18" i="31" s="1"/>
  <c r="B19" i="31" s="1"/>
  <c r="B20" i="31" s="1"/>
  <c r="B21" i="31" s="1"/>
  <c r="B22" i="31" s="1"/>
  <c r="B23" i="31" s="1"/>
  <c r="B24" i="31" s="1"/>
  <c r="B25" i="31" s="1"/>
  <c r="E6" i="31"/>
  <c r="B6" i="31"/>
  <c r="E5" i="31"/>
  <c r="D61" i="32" l="1"/>
  <c r="E60" i="32"/>
  <c r="B26" i="31"/>
  <c r="B27" i="31" s="1"/>
  <c r="B28" i="31" s="1"/>
  <c r="B29" i="31" s="1"/>
  <c r="B30" i="31" s="1"/>
  <c r="B31" i="31" s="1"/>
  <c r="B32" i="31" s="1"/>
  <c r="B33" i="31" s="1"/>
  <c r="B34" i="31" s="1"/>
  <c r="B35" i="31" s="1"/>
  <c r="B36" i="31" s="1"/>
  <c r="B37" i="31" s="1"/>
  <c r="B38" i="31" s="1"/>
  <c r="B39" i="31" s="1"/>
  <c r="B40" i="31" s="1"/>
  <c r="B41" i="31" s="1"/>
  <c r="B42" i="31" s="1"/>
  <c r="B43" i="31" s="1"/>
  <c r="B44" i="31" s="1"/>
  <c r="B45" i="31" s="1"/>
  <c r="G161" i="26"/>
  <c r="E161" i="26"/>
  <c r="E163" i="26" s="1"/>
  <c r="D163" i="26" s="1"/>
  <c r="D62" i="32" l="1"/>
  <c r="E61" i="32"/>
  <c r="H161" i="26"/>
  <c r="G163" i="26"/>
  <c r="H163" i="26" s="1"/>
  <c r="D63" i="32" l="1"/>
  <c r="E62" i="32"/>
  <c r="D36" i="35"/>
  <c r="G36" i="35" s="1"/>
  <c r="H33" i="35"/>
  <c r="D64" i="32" l="1"/>
  <c r="E63" i="32"/>
  <c r="D37" i="35"/>
  <c r="E21" i="35"/>
  <c r="E22" i="35"/>
  <c r="H22" i="35" s="1"/>
  <c r="E36" i="35"/>
  <c r="D65" i="32" l="1"/>
  <c r="E64" i="32"/>
  <c r="E23" i="35"/>
  <c r="H23" i="35" s="1"/>
  <c r="H21" i="35"/>
  <c r="D38" i="35"/>
  <c r="G37" i="35"/>
  <c r="E26" i="35"/>
  <c r="E10" i="35"/>
  <c r="H10" i="35" s="1"/>
  <c r="E9" i="35"/>
  <c r="H9" i="35" s="1"/>
  <c r="E37" i="35"/>
  <c r="D66" i="32" l="1"/>
  <c r="E65" i="32"/>
  <c r="E25" i="35"/>
  <c r="H25" i="35" s="1"/>
  <c r="D39" i="35"/>
  <c r="E39" i="35" s="1"/>
  <c r="G38" i="35"/>
  <c r="E16" i="35"/>
  <c r="H16" i="35" s="1"/>
  <c r="H26" i="35"/>
  <c r="E32" i="26"/>
  <c r="E33" i="26" s="1"/>
  <c r="G32" i="26"/>
  <c r="E11" i="35"/>
  <c r="E38" i="35"/>
  <c r="E111" i="26"/>
  <c r="H111" i="26" s="1"/>
  <c r="E15" i="26"/>
  <c r="D67" i="32" l="1"/>
  <c r="E66" i="32"/>
  <c r="E84" i="26"/>
  <c r="D84" i="26" s="1"/>
  <c r="H15" i="26"/>
  <c r="D40" i="35"/>
  <c r="G39" i="35"/>
  <c r="E13" i="35"/>
  <c r="H13" i="35" s="1"/>
  <c r="H11" i="35"/>
  <c r="E15" i="35"/>
  <c r="H15" i="35" s="1"/>
  <c r="H32" i="26"/>
  <c r="G33" i="26"/>
  <c r="H33" i="26" s="1"/>
  <c r="E30" i="26"/>
  <c r="E14" i="35"/>
  <c r="E95" i="26"/>
  <c r="E104" i="26" s="1"/>
  <c r="E17" i="26"/>
  <c r="H17" i="26" s="1"/>
  <c r="E110" i="26"/>
  <c r="H110" i="26" s="1"/>
  <c r="D68" i="32" l="1"/>
  <c r="E67" i="32"/>
  <c r="H84" i="26"/>
  <c r="E96" i="26"/>
  <c r="E4" i="35"/>
  <c r="H4" i="35" s="1"/>
  <c r="H14" i="35"/>
  <c r="G40" i="35"/>
  <c r="D41" i="35"/>
  <c r="E40" i="35"/>
  <c r="H95" i="26"/>
  <c r="E31" i="26"/>
  <c r="H30" i="26"/>
  <c r="E112" i="26"/>
  <c r="E105" i="26" l="1"/>
  <c r="E15" i="34" s="1"/>
  <c r="D69" i="32"/>
  <c r="E68" i="32"/>
  <c r="E99" i="26"/>
  <c r="E102" i="26" s="1"/>
  <c r="E129" i="26"/>
  <c r="H104" i="26"/>
  <c r="H96" i="26"/>
  <c r="E97" i="26"/>
  <c r="G41" i="35"/>
  <c r="D42" i="35"/>
  <c r="E41" i="35"/>
  <c r="E114" i="26"/>
  <c r="E128" i="26" s="1"/>
  <c r="H128" i="26" s="1"/>
  <c r="H112" i="26"/>
  <c r="H31" i="26"/>
  <c r="E16" i="34" l="1"/>
  <c r="D16" i="34" s="1"/>
  <c r="H15" i="34"/>
  <c r="H99" i="26"/>
  <c r="D70" i="32"/>
  <c r="E69" i="32"/>
  <c r="E130" i="26"/>
  <c r="H129" i="26"/>
  <c r="H114" i="26"/>
  <c r="E115" i="26"/>
  <c r="H105" i="26"/>
  <c r="D102" i="26"/>
  <c r="H102" i="26"/>
  <c r="H97" i="26"/>
  <c r="G42" i="35"/>
  <c r="D43" i="35"/>
  <c r="E42" i="35"/>
  <c r="E17" i="34" l="1"/>
  <c r="E27" i="34" s="1"/>
  <c r="H27" i="34" s="1"/>
  <c r="H16" i="34"/>
  <c r="E28" i="34"/>
  <c r="E29" i="34" s="1"/>
  <c r="D71" i="32"/>
  <c r="E70" i="32"/>
  <c r="H130" i="26"/>
  <c r="E132" i="26"/>
  <c r="E136" i="26"/>
  <c r="H115" i="26"/>
  <c r="E43" i="35"/>
  <c r="D44" i="35"/>
  <c r="G43" i="35"/>
  <c r="E117" i="26"/>
  <c r="H117" i="26" s="1"/>
  <c r="H17" i="34" l="1"/>
  <c r="H28" i="34"/>
  <c r="H29" i="34"/>
  <c r="E30" i="34"/>
  <c r="D30" i="34" s="1"/>
  <c r="D132" i="26"/>
  <c r="H132" i="26"/>
  <c r="D72" i="32"/>
  <c r="E71" i="32"/>
  <c r="H136" i="26"/>
  <c r="E33" i="34"/>
  <c r="E138" i="26"/>
  <c r="H138" i="26" s="1"/>
  <c r="G44" i="35"/>
  <c r="D45" i="35"/>
  <c r="E44" i="35"/>
  <c r="H30" i="34" l="1"/>
  <c r="D73" i="32"/>
  <c r="E72" i="32"/>
  <c r="H33" i="34"/>
  <c r="E34" i="34"/>
  <c r="E137" i="26"/>
  <c r="H137" i="26" s="1"/>
  <c r="G45" i="35"/>
  <c r="D46" i="35"/>
  <c r="E45" i="35"/>
  <c r="D74" i="32" l="1"/>
  <c r="E73" i="32"/>
  <c r="E35" i="34"/>
  <c r="H34" i="34"/>
  <c r="G46" i="35"/>
  <c r="D47" i="35"/>
  <c r="D48" i="35" s="1"/>
  <c r="E46" i="35"/>
  <c r="D75" i="32" l="1"/>
  <c r="E75" i="32" s="1"/>
  <c r="E74" i="32"/>
  <c r="G48" i="35"/>
  <c r="D49" i="35"/>
  <c r="E48" i="35"/>
  <c r="H35" i="34"/>
  <c r="E36" i="34"/>
  <c r="H36" i="34" s="1"/>
  <c r="E38" i="34"/>
  <c r="G47" i="35"/>
  <c r="E47" i="35"/>
  <c r="E36" i="32" l="1"/>
  <c r="E4" i="32" s="1"/>
  <c r="G49" i="35"/>
  <c r="E49" i="35"/>
  <c r="D50" i="35"/>
  <c r="H38" i="34"/>
  <c r="D38" i="34"/>
  <c r="D39" i="34" s="1"/>
  <c r="G3" i="35"/>
  <c r="E82" i="26"/>
  <c r="H36" i="32" l="1"/>
  <c r="G50" i="35"/>
  <c r="E50" i="35"/>
  <c r="D51" i="35"/>
  <c r="G39" i="34"/>
  <c r="E39" i="34"/>
  <c r="E44" i="34" s="1"/>
  <c r="E45" i="34" s="1"/>
  <c r="D82" i="26"/>
  <c r="H82" i="26"/>
  <c r="H4" i="32" l="1"/>
  <c r="G51" i="35"/>
  <c r="D52" i="35"/>
  <c r="E51" i="35"/>
  <c r="G175" i="26"/>
  <c r="G44" i="34"/>
  <c r="H39" i="34"/>
  <c r="E175" i="26"/>
  <c r="H174" i="26" l="1"/>
  <c r="H175" i="26"/>
  <c r="G52" i="35"/>
  <c r="E52" i="35"/>
  <c r="D53" i="35"/>
  <c r="H42" i="34"/>
  <c r="G45" i="34"/>
  <c r="H45" i="34" s="1"/>
  <c r="H44" i="34"/>
  <c r="G53" i="35" l="1"/>
  <c r="E53" i="35"/>
  <c r="D54" i="35"/>
  <c r="G54" i="35" l="1"/>
  <c r="E54" i="35"/>
  <c r="D55" i="35"/>
  <c r="G55" i="35" l="1"/>
  <c r="E55" i="35"/>
  <c r="D56" i="35"/>
  <c r="G56" i="35" l="1"/>
  <c r="E56" i="35"/>
  <c r="D57" i="35"/>
  <c r="D58" i="35" l="1"/>
  <c r="G57" i="35"/>
  <c r="E57" i="35"/>
  <c r="E58" i="35" l="1"/>
  <c r="D59" i="35"/>
  <c r="G58" i="35"/>
  <c r="G59" i="35" l="1"/>
  <c r="E59" i="35"/>
  <c r="D60" i="35"/>
  <c r="G60" i="35" l="1"/>
  <c r="E60" i="35"/>
  <c r="D61" i="35"/>
  <c r="G61" i="35" l="1"/>
  <c r="E61" i="35"/>
  <c r="E27" i="35" s="1"/>
  <c r="E3" i="35" l="1"/>
  <c r="H27" i="35"/>
  <c r="E60" i="26" l="1"/>
  <c r="E62" i="26" s="1"/>
  <c r="E64" i="26" s="1"/>
  <c r="G60" i="26"/>
  <c r="H3" i="35"/>
  <c r="G62" i="26" l="1"/>
  <c r="H60" i="26"/>
  <c r="E170" i="26"/>
  <c r="E172" i="26" s="1"/>
  <c r="E66" i="26"/>
  <c r="E176" i="26" l="1"/>
  <c r="E177" i="26" s="1"/>
  <c r="H62" i="26"/>
  <c r="G64" i="26"/>
  <c r="G170" i="26" l="1"/>
  <c r="G66" i="26"/>
  <c r="H66" i="26" s="1"/>
  <c r="H64" i="26"/>
  <c r="H170" i="26" l="1"/>
  <c r="G172" i="26"/>
  <c r="G176" i="26" s="1"/>
  <c r="H172" i="26" l="1"/>
  <c r="G177" i="26" l="1"/>
  <c r="H177" i="26" s="1"/>
  <c r="H176" i="26"/>
</calcChain>
</file>

<file path=xl/sharedStrings.xml><?xml version="1.0" encoding="utf-8"?>
<sst xmlns="http://schemas.openxmlformats.org/spreadsheetml/2006/main" count="748" uniqueCount="410">
  <si>
    <t>m3/d</t>
  </si>
  <si>
    <t>Lps</t>
  </si>
  <si>
    <t>Ciclo de Operación</t>
  </si>
  <si>
    <t>m3</t>
  </si>
  <si>
    <t>m2</t>
  </si>
  <si>
    <t>m</t>
  </si>
  <si>
    <t>Borde Libre</t>
  </si>
  <si>
    <t>mg/L</t>
  </si>
  <si>
    <t>Temperatura</t>
  </si>
  <si>
    <t>horas</t>
  </si>
  <si>
    <t>pg</t>
  </si>
  <si>
    <t>m/s</t>
  </si>
  <si>
    <t>oC</t>
  </si>
  <si>
    <t>Altitud</t>
  </si>
  <si>
    <t>msnm</t>
  </si>
  <si>
    <t>Presion a Nivel del Mar</t>
  </si>
  <si>
    <t>P</t>
  </si>
  <si>
    <t>kPa</t>
  </si>
  <si>
    <t>Factor de Presión</t>
  </si>
  <si>
    <t>Presión en el Sitio</t>
  </si>
  <si>
    <t>Kw</t>
  </si>
  <si>
    <t>u</t>
  </si>
  <si>
    <t>Profundidad del Tanque Lleno</t>
  </si>
  <si>
    <t xml:space="preserve">Tiempo de Retención Hidráulica </t>
  </si>
  <si>
    <t>min</t>
  </si>
  <si>
    <t xml:space="preserve">m </t>
  </si>
  <si>
    <t>Eficiencia de Bombeo</t>
  </si>
  <si>
    <t>Concentración de Nitrogeno Amoniacal Afluente</t>
  </si>
  <si>
    <t>Largo</t>
  </si>
  <si>
    <t>Cd</t>
  </si>
  <si>
    <t>Area en Planta</t>
  </si>
  <si>
    <t>Volumen de Tanque</t>
  </si>
  <si>
    <t>Cabeza de Velocidad</t>
  </si>
  <si>
    <t>Perdidas de Cabeza en Tubería</t>
  </si>
  <si>
    <t>Indicadores de Control</t>
  </si>
  <si>
    <t>Coeficiente de Descarga</t>
  </si>
  <si>
    <t>T°C</t>
  </si>
  <si>
    <t xml:space="preserve">Cabeza de Velocidad </t>
  </si>
  <si>
    <t>Accesorios</t>
  </si>
  <si>
    <t>Velocidad de Sedimentación</t>
  </si>
  <si>
    <t>Concentración DBO Afluente</t>
  </si>
  <si>
    <t>Caudal a Tratar</t>
  </si>
  <si>
    <t>Variables Principales de Entrada</t>
  </si>
  <si>
    <t xml:space="preserve">Ancho  </t>
  </si>
  <si>
    <t>No de Ramales</t>
  </si>
  <si>
    <t>Clasificación de la Información</t>
  </si>
  <si>
    <t>Carga de DBO5 Afluente</t>
  </si>
  <si>
    <t>kg DBO5/día</t>
  </si>
  <si>
    <t>Parámetros Principales de Entrada</t>
  </si>
  <si>
    <t>kW-h/m3</t>
  </si>
  <si>
    <t>Parámetros de Diseño Asumidos</t>
  </si>
  <si>
    <t>Parámetros y Datos de Diseño Calculados</t>
  </si>
  <si>
    <t>Fuente</t>
  </si>
  <si>
    <t>Calculo Alterno</t>
  </si>
  <si>
    <t>Diferencia</t>
  </si>
  <si>
    <t>gr/L</t>
  </si>
  <si>
    <t>Km</t>
  </si>
  <si>
    <t>Pt</t>
  </si>
  <si>
    <t xml:space="preserve">Parámetros  tomados de la Literatura Científica o Técnica </t>
  </si>
  <si>
    <t>Resultados Finales e Indicadores de Desempeño</t>
  </si>
  <si>
    <t>Otros Cálculos</t>
  </si>
  <si>
    <t>Temperatura T</t>
  </si>
  <si>
    <r>
      <t xml:space="preserve">Densidad </t>
    </r>
    <r>
      <rPr>
        <b/>
        <sz val="11"/>
        <color rgb="FF000000"/>
        <rFont val="GreekC"/>
      </rPr>
      <t>r</t>
    </r>
  </si>
  <si>
    <r>
      <t xml:space="preserve">Viscosidad Dinámica </t>
    </r>
    <r>
      <rPr>
        <b/>
        <sz val="11"/>
        <color rgb="FF000000"/>
        <rFont val="GreekC"/>
      </rPr>
      <t>m</t>
    </r>
  </si>
  <si>
    <r>
      <t xml:space="preserve">Viscosidad Cinemática </t>
    </r>
    <r>
      <rPr>
        <b/>
        <sz val="11"/>
        <color rgb="FF000000"/>
        <rFont val="GreekC"/>
      </rPr>
      <t>J</t>
    </r>
  </si>
  <si>
    <t>Presión de Vapor Hv</t>
  </si>
  <si>
    <t>Concentración de Saturación de O2  para T y salinidad a nivel del mar  C(s,T)</t>
  </si>
  <si>
    <t>°C</t>
  </si>
  <si>
    <t>kg/m3</t>
  </si>
  <si>
    <r>
      <t>m</t>
    </r>
    <r>
      <rPr>
        <vertAlign val="superscript"/>
        <sz val="11"/>
        <color rgb="FF000000"/>
        <rFont val="Arial"/>
        <family val="2"/>
      </rPr>
      <t>2</t>
    </r>
    <r>
      <rPr>
        <sz val="11"/>
        <color rgb="FF000000"/>
        <rFont val="Arial"/>
        <family val="2"/>
      </rPr>
      <t>/sg</t>
    </r>
  </si>
  <si>
    <t>Salinidad en partes por mil (gr/L)</t>
  </si>
  <si>
    <t xml:space="preserve">Therm Exel. "Physical characteristics of water (at the atmospheric pressure)". 2.003.   </t>
  </si>
  <si>
    <t>Metcalf &amp; Eddy. “Wastewater Engineering. Treatment and Reuse”. Mc Graw Hill.            4ª Edición, 2.003.</t>
  </si>
  <si>
    <t>https://www.thermexcel.com/english/tables/eau_atm.htm</t>
  </si>
  <si>
    <t>Pérdidas:</t>
  </si>
  <si>
    <t xml:space="preserve">Material </t>
  </si>
  <si>
    <t>PVC</t>
  </si>
  <si>
    <r>
      <t>Coeficiente C</t>
    </r>
    <r>
      <rPr>
        <vertAlign val="subscript"/>
        <sz val="11"/>
        <color rgb="FF000000"/>
        <rFont val="Arial"/>
        <family val="2"/>
      </rPr>
      <t>HW</t>
    </r>
    <r>
      <rPr>
        <sz val="11"/>
        <color rgb="FF000000"/>
        <rFont val="Arial"/>
        <family val="2"/>
        <charset val="1"/>
      </rPr>
      <t>:</t>
    </r>
  </si>
  <si>
    <t xml:space="preserve">Caudal </t>
  </si>
  <si>
    <t xml:space="preserve">Longitud  </t>
  </si>
  <si>
    <t>Diametro</t>
  </si>
  <si>
    <t xml:space="preserve">Velocidad Media </t>
  </si>
  <si>
    <t>Cantidad</t>
  </si>
  <si>
    <t>Pérdidas (m)</t>
  </si>
  <si>
    <t>Variable de Ajuste</t>
  </si>
  <si>
    <r>
      <rPr>
        <sz val="11"/>
        <rFont val="GreekC"/>
      </rPr>
      <t>D</t>
    </r>
    <r>
      <rPr>
        <sz val="11"/>
        <rFont val="Arial"/>
        <family val="2"/>
      </rPr>
      <t>H</t>
    </r>
  </si>
  <si>
    <t xml:space="preserve">Area en Planta </t>
  </si>
  <si>
    <t>Profundidad Máxima del Agua</t>
  </si>
  <si>
    <t>Volúmen de Almacenamiento Regulador</t>
  </si>
  <si>
    <t>Lawrence K. Wang et al, (Ref. F-4),  Numeral 6,4</t>
  </si>
  <si>
    <t>30 a 40%</t>
  </si>
  <si>
    <t>Volumen de Agua a Extraer</t>
  </si>
  <si>
    <t>Información del Fabricante</t>
  </si>
  <si>
    <t>mca</t>
  </si>
  <si>
    <t>Altura del Sifonaje</t>
  </si>
  <si>
    <t>Presion de Succión en Lecho de Secado</t>
  </si>
  <si>
    <t>Espesor del Lecho</t>
  </si>
  <si>
    <t>Gradiente Teorico de Filtración por Gravedad</t>
  </si>
  <si>
    <t>Capacidad de Remonciión de NH4 de la Zeolita</t>
  </si>
  <si>
    <t>mgNH4/g</t>
  </si>
  <si>
    <t>Lawrence K. Wang et al, (Ref. F-4). Figura F-6</t>
  </si>
  <si>
    <t>Longitud del Tramo</t>
  </si>
  <si>
    <t>Tramo</t>
  </si>
  <si>
    <t>Planos de Diseño</t>
  </si>
  <si>
    <t>Tee con salida lateral</t>
  </si>
  <si>
    <t>Total Pérdidas:</t>
  </si>
  <si>
    <t>Tubería de Succión</t>
  </si>
  <si>
    <t>Caudal Total</t>
  </si>
  <si>
    <t>Tabla B. 6,30, RAS</t>
  </si>
  <si>
    <t>Codo de radio corto</t>
  </si>
  <si>
    <t>Tubería de Descarga</t>
  </si>
  <si>
    <t>PEAD</t>
  </si>
  <si>
    <t>Tubería de Distribución</t>
  </si>
  <si>
    <r>
      <t>Coeficiente C</t>
    </r>
    <r>
      <rPr>
        <vertAlign val="subscript"/>
        <sz val="11"/>
        <color rgb="FF000000"/>
        <rFont val="Arial"/>
        <family val="2"/>
      </rPr>
      <t>HW</t>
    </r>
    <r>
      <rPr>
        <sz val="11"/>
        <color rgb="FF000000"/>
        <rFont val="Arial"/>
        <family val="2"/>
      </rPr>
      <t xml:space="preserve"> =</t>
    </r>
  </si>
  <si>
    <t>Diámetro D</t>
  </si>
  <si>
    <t>Caudal Q</t>
  </si>
  <si>
    <t>Pérdidas hf</t>
  </si>
  <si>
    <t>Ecuación F-11</t>
  </si>
  <si>
    <t>Numeral F-5,4</t>
  </si>
  <si>
    <t>Valvula de cheque Bola o Cortina</t>
  </si>
  <si>
    <t>Tabla A-7 del Capítulo A-5.</t>
  </si>
  <si>
    <t>m3/ciclo</t>
  </si>
  <si>
    <t>g/L</t>
  </si>
  <si>
    <t xml:space="preserve">Suministro de Zeolita </t>
  </si>
  <si>
    <t>Suministro de Cal</t>
  </si>
  <si>
    <t>Concentración de Fósforo Afluente</t>
  </si>
  <si>
    <t>kg P/día</t>
  </si>
  <si>
    <t>Eficiencia Remoción de Fósforo</t>
  </si>
  <si>
    <t>Tiempo Disponible para el Ciclo</t>
  </si>
  <si>
    <t>Tipo de Coagulante</t>
  </si>
  <si>
    <t>m/h</t>
  </si>
  <si>
    <t xml:space="preserve">30 a 60 </t>
  </si>
  <si>
    <t>Tiempo Sobrante</t>
  </si>
  <si>
    <t>ciclos</t>
  </si>
  <si>
    <t xml:space="preserve">Reactor Secuencial  </t>
  </si>
  <si>
    <t>Cal</t>
  </si>
  <si>
    <t>Diámetro de Perforaciones</t>
  </si>
  <si>
    <t>Area de Perforaciones</t>
  </si>
  <si>
    <t>Velocidad en Perforaciones</t>
  </si>
  <si>
    <t>No Total de Perforaciones</t>
  </si>
  <si>
    <t>Caudal de Bombeo</t>
  </si>
  <si>
    <t>Caudal por Perforación</t>
  </si>
  <si>
    <t xml:space="preserve">Caudal de Aire a la Presión del Sitio </t>
  </si>
  <si>
    <t>Cabeza de Presión en Soplador</t>
  </si>
  <si>
    <t>Densidad del Aire</t>
  </si>
  <si>
    <t>γ</t>
  </si>
  <si>
    <t>Eficiencia del Soplador</t>
  </si>
  <si>
    <t>Remoción de Nitrógeno Amomoiacal con Cal</t>
  </si>
  <si>
    <t>Tasa de Remoción de Nitrógeno Amomoiacal con Cal</t>
  </si>
  <si>
    <t>Carga de Nitrógeno Amoniacal a Remover con Zeolita</t>
  </si>
  <si>
    <t>Kg/Lt</t>
  </si>
  <si>
    <t>Preparación casera de pintura con cal – PintoMiCasa.com</t>
  </si>
  <si>
    <t xml:space="preserve">Tasa Especificada de Remoción de Nitrógeno Amomoiacal </t>
  </si>
  <si>
    <t xml:space="preserve">Remoción Total de Nitrógeno Amomoiacal </t>
  </si>
  <si>
    <t>Variación de Niveles en el Reactor</t>
  </si>
  <si>
    <t>Tuberia de Salida de Lodos</t>
  </si>
  <si>
    <t>1/2"</t>
  </si>
  <si>
    <t>Carga de Fósforo Afluente</t>
  </si>
  <si>
    <t>Cabeza de Bombeo</t>
  </si>
  <si>
    <t>Numero de Ramales</t>
  </si>
  <si>
    <t>Pérdidas de Cabeza</t>
  </si>
  <si>
    <t>Hoja "Tubería de Llenado"</t>
  </si>
  <si>
    <t>Diferencia de Nivel</t>
  </si>
  <si>
    <t>kW-h/año</t>
  </si>
  <si>
    <t>Potencia de la Bomba</t>
  </si>
  <si>
    <t>Consumo Anual de Energía de la Planta</t>
  </si>
  <si>
    <t>Consumo de Energía Específico (por m3 de agua)</t>
  </si>
  <si>
    <t xml:space="preserve">Consumo de Energía </t>
  </si>
  <si>
    <t>Consumo Anual de Energía por Sopladores</t>
  </si>
  <si>
    <t>Relación Mínima entre Cal y Fósforo</t>
  </si>
  <si>
    <t>pH en Lodos Requerido para Proceso TPQA</t>
  </si>
  <si>
    <t>para pH mayor a 9</t>
  </si>
  <si>
    <t>Concentración de Zeolita en los Lodos Calculada</t>
  </si>
  <si>
    <t>Pureza de la Cal utilzada</t>
  </si>
  <si>
    <t>Periodicidad de Remoción de Biosólidos</t>
  </si>
  <si>
    <t>Contenido de Agua a Alcanzar con Secado</t>
  </si>
  <si>
    <t>Cantidad Diaria de Cal Requerida para Remoción de Fósforo</t>
  </si>
  <si>
    <t>Alcalinidad en el Afluente</t>
  </si>
  <si>
    <t>mg/L CaCO3</t>
  </si>
  <si>
    <t>Kg/ciclo</t>
  </si>
  <si>
    <t>Carga de NH4 por Ciclo</t>
  </si>
  <si>
    <t>gr NH4/ciclo</t>
  </si>
  <si>
    <t xml:space="preserve">Cantidad  de Zeolita Requerida </t>
  </si>
  <si>
    <t>Consumo Anual de Energía de la Bomba</t>
  </si>
  <si>
    <t>Longitud de la Tubería</t>
  </si>
  <si>
    <t>Curva Característica de la Bomba</t>
  </si>
  <si>
    <t>Tiempo de Operación Anual</t>
  </si>
  <si>
    <t>Tiempo de Operación Anual de Sopladores</t>
  </si>
  <si>
    <t>Hoja "Agua-T(°C)</t>
  </si>
  <si>
    <t>Viscocidad Dinámica del Agua a T°C</t>
  </si>
  <si>
    <t xml:space="preserve">μ </t>
  </si>
  <si>
    <t xml:space="preserve">Rango del Gradiente de Velocidad   </t>
  </si>
  <si>
    <t>G</t>
  </si>
  <si>
    <t>50 a 100</t>
  </si>
  <si>
    <t>1/s</t>
  </si>
  <si>
    <t>Características de los Lodos</t>
  </si>
  <si>
    <t>Concentración de Cal Adoptada para Proceso TPQA</t>
  </si>
  <si>
    <t>Variable a Determinar durante Operación</t>
  </si>
  <si>
    <t>Longitud de Ramal</t>
  </si>
  <si>
    <t>Separación de Perforaciónes dobles</t>
  </si>
  <si>
    <t>Area de Perforación</t>
  </si>
  <si>
    <t>Kg NH4/ciclo</t>
  </si>
  <si>
    <t xml:space="preserve">Tiempo de Decantación                                          td                                                       </t>
  </si>
  <si>
    <t>Tiempo de Procesos del Ciclo                                Tc</t>
  </si>
  <si>
    <t>Altura del Tanque</t>
  </si>
  <si>
    <t>Carga de NH4 Afluente</t>
  </si>
  <si>
    <t>kg NH4/día</t>
  </si>
  <si>
    <t xml:space="preserve">Potencia Hidráulica de Aireación de Sopladores </t>
  </si>
  <si>
    <t>Area del Lecho de Secado</t>
  </si>
  <si>
    <t>gr/Lt</t>
  </si>
  <si>
    <t>Hoja "Lecho de Secado"</t>
  </si>
  <si>
    <t>cm3/Lt</t>
  </si>
  <si>
    <t>Peso Específico de Sólidos de Tratamientos con Cal</t>
  </si>
  <si>
    <t>días</t>
  </si>
  <si>
    <t>1 semana</t>
  </si>
  <si>
    <t>Contenido de Sólidos Secos en Lecho</t>
  </si>
  <si>
    <t>Volumen de Agua Conservar</t>
  </si>
  <si>
    <t>Secado y Extraccíón de Lodos del Lecho</t>
  </si>
  <si>
    <t xml:space="preserve">Volumen de Purga de Lodos del Reactor </t>
  </si>
  <si>
    <t>Tiempo Total de Floculación                                    tf</t>
  </si>
  <si>
    <t xml:space="preserve">Rango de Tiempo de Floculación en Aguas Residuales  tf         </t>
  </si>
  <si>
    <t xml:space="preserve">Tiempo de Floculación con Aire                             ta                            </t>
  </si>
  <si>
    <t>Relación entre CaCO3 producido y Cal suministrada</t>
  </si>
  <si>
    <t>Dosis de Cal con Pureza de 90% requerida para pH de 12</t>
  </si>
  <si>
    <t>horas/año</t>
  </si>
  <si>
    <t>Potencia de la Bomba de Llenado</t>
  </si>
  <si>
    <t>Tiempo de Operación Anual de la Bomba de Llenado</t>
  </si>
  <si>
    <t>Consumo Anual de Energía de la Bomba de Llenado</t>
  </si>
  <si>
    <t>Hoja "Planta Pinbasa"</t>
  </si>
  <si>
    <t>Conexión a Tubería de Distribución</t>
  </si>
  <si>
    <t>Planta PINBASA</t>
  </si>
  <si>
    <t>TUBERÍA DE LLENADO</t>
  </si>
  <si>
    <t>Variación de Nivel durante Bombeo de Tanda</t>
  </si>
  <si>
    <t>Almacenamiento Regulador como % del Volumen Diario</t>
  </si>
  <si>
    <t>Altura Media para Almacenamiento Regulador</t>
  </si>
  <si>
    <t>Velocidad de Succión en la Bomba</t>
  </si>
  <si>
    <t>Fuente: "Tuberia de Llenado"</t>
  </si>
  <si>
    <t>ft/s</t>
  </si>
  <si>
    <t>Profundidad Mínima Calculada en Succión</t>
  </si>
  <si>
    <t>ft</t>
  </si>
  <si>
    <t xml:space="preserve">Figura F-38. Fuente: Drilling Fluid org </t>
  </si>
  <si>
    <t>Ecuación D-8</t>
  </si>
  <si>
    <t>Gradiente de Velocidad                                     G</t>
  </si>
  <si>
    <t>Eficiencia Remoción de Nitrogeno Amoniacal Requerida</t>
  </si>
  <si>
    <t>N.sg/m2</t>
  </si>
  <si>
    <t xml:space="preserve">Información de Entrada </t>
  </si>
  <si>
    <t>Información de Salida</t>
  </si>
  <si>
    <t>INTRUCCIONES SOBRE EL CÁLCULO ALTERNO</t>
  </si>
  <si>
    <t xml:space="preserve">Para revertir esta operación, se coloca en la casilla  del parámetro modificado el valor correspondiente </t>
  </si>
  <si>
    <t xml:space="preserve">Para hacer la gráfica de un parámetro contra divesas variables, se ejecutan las siguientes instrucciones: </t>
  </si>
  <si>
    <t xml:space="preserve">- Los valores del parámetro van en la abscisa o eje horizontal, y los de las variables en las ordenadas. </t>
  </si>
  <si>
    <t>- Se rellena la fila a la derecha del parámetro con valores que se incrementan una cantidad fija.</t>
  </si>
  <si>
    <t xml:space="preserve">- Al finalizar, se copian los valores de la abcisa y las ordenadas, y se pegan traspuestos en otra hoja. </t>
  </si>
  <si>
    <t>Pérdidas Totales:</t>
  </si>
  <si>
    <t xml:space="preserve">Pérdidas </t>
  </si>
  <si>
    <t>Esta operación permite analizar el cambio de las variables calculadas al cambiar algunos parámetros.</t>
  </si>
  <si>
    <t>El cálculo alterno se realiza modificando el valor de uno o varios  parámetros en esta columna.</t>
  </si>
  <si>
    <t>Los parámetros que se puden modificar corresponden a la Información de Entrada.</t>
  </si>
  <si>
    <t xml:space="preserve">El color de este parámetro se cambia a un color distintivo para diferenciarlo. </t>
  </si>
  <si>
    <t>En el cálculo alterno es necesario aplicar la Función Objetivo en los parámetros indicados.</t>
  </si>
  <si>
    <t xml:space="preserve">Cuando el cambio en el parámetro afecta el caudal, podrían requerirse cambios en dimensiones de </t>
  </si>
  <si>
    <t>tuberías y estructuras.</t>
  </si>
  <si>
    <t>Para incorporar los cambios en el cálculo original, se copian en este los datos del Cálculo Alterno,</t>
  </si>
  <si>
    <t>- En el Cálculo Alterno se coloca sucesivamente cada valor del parámetro, y los valores de las variables</t>
  </si>
  <si>
    <t xml:space="preserve">  de interés se copian en la misma fila, y en la columna correspondiente al valor del parámetro.</t>
  </si>
  <si>
    <t>- Esta operación se repite para todos los valores del parámetro.</t>
  </si>
  <si>
    <t xml:space="preserve">Se puede tener en la abscisa una variable (p.e. caudal) que sea directamente proporcional al parámetro </t>
  </si>
  <si>
    <t>que se cambia (p.e. velocidad de los chorros)</t>
  </si>
  <si>
    <t>y luego se quita el color distitivo en este último.</t>
  </si>
  <si>
    <t>- Se realiza la gráfica a partir de las columnas de la abcisa y de las ordenadas.</t>
  </si>
  <si>
    <t xml:space="preserve">Pérdidas: </t>
  </si>
  <si>
    <t>Notas</t>
  </si>
  <si>
    <t>a la columna E, y luego se quita el color distintivo.</t>
  </si>
  <si>
    <t>Es importante verificar el cumplimento de las condiciones indIcadas en la columna D</t>
  </si>
  <si>
    <t xml:space="preserve">Carga Superficial Calculada </t>
  </si>
  <si>
    <t>m/día</t>
  </si>
  <si>
    <t>Carga Superficial Máxima en Floculación con Cal</t>
  </si>
  <si>
    <t>Kg/día</t>
  </si>
  <si>
    <t>Cantidad de Cal por Metro Cúbiico de Agua Tratada</t>
  </si>
  <si>
    <t>gramos/m3</t>
  </si>
  <si>
    <t>Número de Tramos</t>
  </si>
  <si>
    <r>
      <t>m</t>
    </r>
    <r>
      <rPr>
        <vertAlign val="superscript"/>
        <sz val="11"/>
        <color rgb="FF000000"/>
        <rFont val="Arial"/>
        <family val="2"/>
      </rPr>
      <t>3</t>
    </r>
    <r>
      <rPr>
        <sz val="11"/>
        <color rgb="FF000000"/>
        <rFont val="Arial"/>
        <family val="2"/>
        <charset val="1"/>
      </rPr>
      <t>/hora</t>
    </r>
  </si>
  <si>
    <t>Tanque de Regulación Anaeróbico</t>
  </si>
  <si>
    <t>Suministro de Aire para Floculación</t>
  </si>
  <si>
    <t>Caudal de Aire por Tramo</t>
  </si>
  <si>
    <t>Diámetro de Manguera Porosa</t>
  </si>
  <si>
    <t>m/sg</t>
  </si>
  <si>
    <t>Velocidad Máxima del Aire en Manguera Porosa</t>
  </si>
  <si>
    <t>Sumergencia Mínima</t>
  </si>
  <si>
    <t>Volumen del Agua Tratada por Ciclo</t>
  </si>
  <si>
    <t>Duración de Etapa de Concentración de Lodos</t>
  </si>
  <si>
    <t>Kg</t>
  </si>
  <si>
    <t>Volumen de Lodos en Etapa de Concentración</t>
  </si>
  <si>
    <t>No de Ciclos por Día</t>
  </si>
  <si>
    <t>Concentración de Cal en Tanque de Solución</t>
  </si>
  <si>
    <t>Cantidad de Cal en Preparación de Solución</t>
  </si>
  <si>
    <t>Cantidad de Agua en Preparación de Solución</t>
  </si>
  <si>
    <t>Litros</t>
  </si>
  <si>
    <t>Decantación de Lodos en el Lecho</t>
  </si>
  <si>
    <t>Velocidad de Decantación Minima en Coagulantes de Fe y Al</t>
  </si>
  <si>
    <t>Velocidad de Decantación en Lodos de Tratamientos con Cal</t>
  </si>
  <si>
    <t>Ana Ghanem et al (Ref D-24)</t>
  </si>
  <si>
    <t>Tiempo de Decantación en el Lecho</t>
  </si>
  <si>
    <t>Peso Específico de Lodos con Coagulantes de Fe y Al</t>
  </si>
  <si>
    <t>Tabla "Lecho de Secado"</t>
  </si>
  <si>
    <t xml:space="preserve">Volumen del Lecho </t>
  </si>
  <si>
    <t>Volúmen del Lecho de Secado</t>
  </si>
  <si>
    <t>Kg/Etapa</t>
  </si>
  <si>
    <t>Kg/etapa</t>
  </si>
  <si>
    <t>Concentración Final de Solidos en Lecho de Concentración</t>
  </si>
  <si>
    <t>Concentración Inicial  de Solidos en Lecho de Concentración</t>
  </si>
  <si>
    <t>Cantidad de Cal aplicada en Etapa de Concentración</t>
  </si>
  <si>
    <t>Cantidad Total de Sólidos por Etapa</t>
  </si>
  <si>
    <t>Concentración Final de Cal en Lecho de Concentración</t>
  </si>
  <si>
    <t>Profundidad de los Lodos en el Lecho</t>
  </si>
  <si>
    <t>Altura del Agua Evacuada</t>
  </si>
  <si>
    <t>Altura del Rebose</t>
  </si>
  <si>
    <t>Profundidad Miinima del Flujo</t>
  </si>
  <si>
    <t>Velocidad Máxima del Flujo en el Lecho</t>
  </si>
  <si>
    <t>Ancho del Lecho</t>
  </si>
  <si>
    <t>Largo del Lecho</t>
  </si>
  <si>
    <t>Concentración de Sólidos en Lecho al Inicio en Lecho de Secado</t>
  </si>
  <si>
    <t>Cantidad de Sólidos en Lecho al Final de la Etapa</t>
  </si>
  <si>
    <t>m3/etapa</t>
  </si>
  <si>
    <t>Caudal de Diseño de Bomba de Diafragma tipo Flojet</t>
  </si>
  <si>
    <t>Lpm</t>
  </si>
  <si>
    <t xml:space="preserve">Factor de Operación </t>
  </si>
  <si>
    <t>Volumen de Biosólidos por Etapa</t>
  </si>
  <si>
    <t>Lts/etapa</t>
  </si>
  <si>
    <t xml:space="preserve">Densidad de Biosólidos </t>
  </si>
  <si>
    <t>Longitud de Tramo de Tubería Perforada</t>
  </si>
  <si>
    <t>Longitud de Tuberías Perforadas</t>
  </si>
  <si>
    <t>Número de Perforaciones</t>
  </si>
  <si>
    <t>3/16"</t>
  </si>
  <si>
    <t xml:space="preserve">Potencia del Soplador </t>
  </si>
  <si>
    <t xml:space="preserve">Tiempo de Salida hacia Lecho de Concentración                          ts                                                      </t>
  </si>
  <si>
    <t xml:space="preserve">Tiempo de Llenado con Floculación                        tl                                                          </t>
  </si>
  <si>
    <t>Potencia de la Bomba de Diafragma de Secado</t>
  </si>
  <si>
    <t>Tipo Flojet Serie LF 12</t>
  </si>
  <si>
    <t>Tiempo de Operación Anual de la Bomba de Secado</t>
  </si>
  <si>
    <t>Consumo Anual de Energía de la Bomba de Secado</t>
  </si>
  <si>
    <t>No de Perforaciones Dobles por Ramal</t>
  </si>
  <si>
    <t>Caudal Inicial por Ramal</t>
  </si>
  <si>
    <t>Caudal por Tramo</t>
  </si>
  <si>
    <t>No de Tramos</t>
  </si>
  <si>
    <t>Valvula de 3 vías</t>
  </si>
  <si>
    <t>,</t>
  </si>
  <si>
    <t>Cantidad de Zeolita en Preparación de la Solución</t>
  </si>
  <si>
    <t>Duración de la Solución</t>
  </si>
  <si>
    <t>Volúmen de Solución por Ciclo</t>
  </si>
  <si>
    <t>Tiempo de Operación Neto de Bomba de Diafragma</t>
  </si>
  <si>
    <t>Tiempo de Operación Intermitente de Bomba de Diafragma</t>
  </si>
  <si>
    <t>Lawrence K. Wang et al (Ref. F-7)</t>
  </si>
  <si>
    <t>Preparación y Dosificación de Solucion</t>
  </si>
  <si>
    <t>Tiempo de Operación de Bomba de Diafragma</t>
  </si>
  <si>
    <t>Información del Fabricante para Flojet Serie LF-12</t>
  </si>
  <si>
    <t>Caudal de Salida</t>
  </si>
  <si>
    <t>Caudal de Evacuación de Lodos</t>
  </si>
  <si>
    <t>Ramal Reecolector</t>
  </si>
  <si>
    <t>Información del Fabricante Flojet Serie LF-12</t>
  </si>
  <si>
    <t>Caudal Calculado</t>
  </si>
  <si>
    <t>Diferencia de Niveles</t>
  </si>
  <si>
    <t xml:space="preserve">Hoja "Tubería de Lodos" </t>
  </si>
  <si>
    <t>Separación entre Perforaciones</t>
  </si>
  <si>
    <t xml:space="preserve">Caudal Inicial </t>
  </si>
  <si>
    <t>No de Perforaciones</t>
  </si>
  <si>
    <t>Cabeza de Velocidad en Perforaciones</t>
  </si>
  <si>
    <t>Caudal por Ramal</t>
  </si>
  <si>
    <t>Tubería de Fondo Recoletora</t>
  </si>
  <si>
    <r>
      <rPr>
        <sz val="12"/>
        <color theme="1"/>
        <rFont val="GreekC"/>
      </rPr>
      <t>D</t>
    </r>
    <r>
      <rPr>
        <sz val="12"/>
        <color theme="1"/>
        <rFont val="Calibri"/>
        <family val="2"/>
      </rPr>
      <t>h</t>
    </r>
  </si>
  <si>
    <r>
      <t xml:space="preserve">Aplicar Función Objetivo con valor de  </t>
    </r>
    <r>
      <rPr>
        <sz val="11"/>
        <color rgb="FFFF0000"/>
        <rFont val="GreekC"/>
      </rPr>
      <t>D</t>
    </r>
    <r>
      <rPr>
        <sz val="11"/>
        <color rgb="FFFF0000"/>
        <rFont val="Arial"/>
        <family val="2"/>
      </rPr>
      <t>h</t>
    </r>
  </si>
  <si>
    <t>Calcular con Función Objetivo</t>
  </si>
  <si>
    <t>Presion de Succión de Bomba de Diafragama</t>
  </si>
  <si>
    <t>Ancho  del Tanque de Solución</t>
  </si>
  <si>
    <t>Profundidad</t>
  </si>
  <si>
    <t>Sumergencia de Succión</t>
  </si>
  <si>
    <t>Capacidad de Almacenamiento</t>
  </si>
  <si>
    <t>Porcentaje de la Capacidad</t>
  </si>
  <si>
    <t>Bombeo hacia Reactor Secuencial</t>
  </si>
  <si>
    <t>Alltura de Tubería de Succión sobre Fondo</t>
  </si>
  <si>
    <t>Silvio J Montalvo et al (Ref. D-58 )</t>
  </si>
  <si>
    <t>Metcalf &amp; Eddy (Ref. D-29). Tabla 5-10</t>
  </si>
  <si>
    <t xml:space="preserve">Tabla 6-4 de Metcalf &amp; Eddy (Ref. D-29) </t>
  </si>
  <si>
    <t>Angela Mañas et al. (Ref. D-64 )</t>
  </si>
  <si>
    <t>Figura D-18. Angela Mañas et al. (Ref. D-64 )</t>
  </si>
  <si>
    <t>Tabla B. 6,30, RAS (Tabla F-6)</t>
  </si>
  <si>
    <t>Velocidad del Flujo en Manguera de Dosificación</t>
  </si>
  <si>
    <t>Diámetro de Manguera de Descarga de Bomba Dosificadora</t>
  </si>
  <si>
    <t>Concentración de Cal Recomendada para Ancalzar pH de 11</t>
  </si>
  <si>
    <t xml:space="preserve">Figura D-17  (Metcalf &amp; Eddy  Ref. D-29, Fig 6,12) </t>
  </si>
  <si>
    <t xml:space="preserve">Volumen de Lodos </t>
  </si>
  <si>
    <t>Kg/m3</t>
  </si>
  <si>
    <t>Estequiometría Ecuación D-11 del Numeral D-7.2</t>
  </si>
  <si>
    <t>m/m</t>
  </si>
  <si>
    <t xml:space="preserve">Cantidad de Cal Requerida para Proceso TPQA </t>
  </si>
  <si>
    <t>Profundidad Máxima de los Lodos</t>
  </si>
  <si>
    <t>Area Seccional Mínima del Flujo en Lecho</t>
  </si>
  <si>
    <t>Metcalf &amp; Eddy (Ref. D-29, Tabla 14-7)</t>
  </si>
  <si>
    <t>Metcalf &amp; Eddy (Ref. D-29, Tabla 14-19)</t>
  </si>
  <si>
    <t>12% a 15%</t>
  </si>
  <si>
    <t>Tiempo de Tránsito en el Lecho</t>
  </si>
  <si>
    <t>Volúmen de Sólidos en Lodos de Cal  Espesads por Gravedad</t>
  </si>
  <si>
    <t>Cantidad de Lodos de Carbonato de Calcio e Hidroxiapatita</t>
  </si>
  <si>
    <t>Cantidad Total de Cal Especificada</t>
  </si>
  <si>
    <t>Calculo de Lecho de Secado de Lodos Alcalinos</t>
  </si>
  <si>
    <t>EPA (Ref. D-56)</t>
  </si>
  <si>
    <r>
      <rPr>
        <sz val="11"/>
        <rFont val="Arial"/>
        <family val="2"/>
      </rPr>
      <t>Esperanza Ramírez Camperos. (Ref. D-60 )</t>
    </r>
    <r>
      <rPr>
        <sz val="11"/>
        <color rgb="FFFF0000"/>
        <rFont val="Arial"/>
        <family val="2"/>
      </rPr>
      <t xml:space="preserve">                                                     </t>
    </r>
  </si>
  <si>
    <t>Silvio J Montalvo et al (Ref, D-58 )</t>
  </si>
  <si>
    <t>Jorge Luis Costafreda. (Ref. D-6.8).  Num.  D-7,6</t>
  </si>
  <si>
    <t>Concentración de Lodos Espesados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</si>
</sst>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0.000"/>
    <numFmt numFmtId="166" formatCode="0.0"/>
    <numFmt numFmtId="167" formatCode="_ * #,##0.00_ ;_ * \-#,##0.00_ ;_ * &quot;-&quot;??_ ;_ @_ "/>
    <numFmt numFmtId="168" formatCode="_(* #,##0.00_);_(* \(#,##0.00\);_(* &quot;-&quot;???_);_(@_)"/>
    <numFmt numFmtId="169" formatCode="0.000000"/>
    <numFmt numFmtId="170" formatCode="_ * #,##0_ ;_ * \-#,##0_ ;_ * &quot;-&quot;??_ ;_ @_ "/>
    <numFmt numFmtId="171" formatCode="_(* #,##0_);_(* \(#,##0\);_(* &quot;-&quot;???_);_(@_)"/>
    <numFmt numFmtId="172" formatCode="#,##0.0"/>
    <numFmt numFmtId="173" formatCode="0.0%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  <charset val="1"/>
    </font>
    <font>
      <sz val="11"/>
      <name val="Arial"/>
      <family val="2"/>
      <charset val="1"/>
    </font>
    <font>
      <sz val="11"/>
      <color rgb="FF000000"/>
      <name val="Arial"/>
      <family val="2"/>
      <charset val="1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sz val="11"/>
      <color rgb="FFFF0000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000000"/>
      <name val="Arial"/>
      <family val="2"/>
    </font>
    <font>
      <b/>
      <sz val="12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GreekC"/>
    </font>
    <font>
      <vertAlign val="superscript"/>
      <sz val="11"/>
      <color rgb="FF000000"/>
      <name val="Arial"/>
      <family val="2"/>
    </font>
    <font>
      <vertAlign val="subscript"/>
      <sz val="11"/>
      <color rgb="FF000000"/>
      <name val="Arial"/>
      <family val="2"/>
    </font>
    <font>
      <sz val="10"/>
      <color rgb="FF000000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11"/>
      <name val="GreekC"/>
    </font>
    <font>
      <b/>
      <sz val="12"/>
      <color rgb="FF000000"/>
      <name val="Arial"/>
      <family val="2"/>
    </font>
    <font>
      <sz val="11"/>
      <color theme="1"/>
      <name val="Arial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Arial"/>
      <family val="2"/>
    </font>
    <font>
      <sz val="12"/>
      <color theme="1"/>
      <name val="Calibri"/>
      <family val="2"/>
    </font>
    <font>
      <sz val="12"/>
      <color theme="1"/>
      <name val="GreekC"/>
    </font>
    <font>
      <sz val="11"/>
      <color rgb="FFFF0000"/>
      <name val="GreekC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2F9FE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99"/>
        <bgColor rgb="FFCCFFCC"/>
      </patternFill>
    </fill>
    <fill>
      <patternFill patternType="solid">
        <fgColor rgb="FFD2F9FE"/>
        <bgColor rgb="FFCCFFFF"/>
      </patternFill>
    </fill>
    <fill>
      <patternFill patternType="solid">
        <fgColor rgb="FFDEEBF7"/>
        <bgColor rgb="FFDBEEF4"/>
      </patternFill>
    </fill>
    <fill>
      <patternFill patternType="solid">
        <fgColor theme="8" tint="0.79998168889431442"/>
        <bgColor rgb="FFDBEEF4"/>
      </patternFill>
    </fill>
    <fill>
      <patternFill patternType="solid">
        <fgColor theme="5" tint="0.79998168889431442"/>
        <bgColor rgb="FFFBE5D6"/>
      </patternFill>
    </fill>
    <fill>
      <patternFill patternType="solid">
        <fgColor rgb="FFFFF2CC"/>
        <bgColor rgb="FFDEEBF7"/>
      </patternFill>
    </fill>
    <fill>
      <patternFill patternType="solid">
        <fgColor theme="8" tint="0.79998168889431442"/>
        <bgColor rgb="FFEEEEEE"/>
      </patternFill>
    </fill>
    <fill>
      <patternFill patternType="solid">
        <fgColor theme="0"/>
        <bgColor rgb="FFEBF1DE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C"/>
        <bgColor rgb="FFEBFED2"/>
      </patternFill>
    </fill>
    <fill>
      <patternFill patternType="solid">
        <fgColor theme="5" tint="0.79998168889431442"/>
        <bgColor rgb="FFDEEBF7"/>
      </patternFill>
    </fill>
    <fill>
      <patternFill patternType="solid">
        <fgColor theme="5" tint="0.79998168889431442"/>
        <bgColor rgb="FFEBFED2"/>
      </patternFill>
    </fill>
    <fill>
      <patternFill patternType="solid">
        <fgColor rgb="FFCCFFFF"/>
        <bgColor rgb="FFDEEBF7"/>
      </patternFill>
    </fill>
    <fill>
      <patternFill patternType="solid">
        <fgColor theme="5" tint="0.79998168889431442"/>
        <bgColor rgb="FFCCFFFF"/>
      </patternFill>
    </fill>
    <fill>
      <patternFill patternType="solid">
        <fgColor theme="5" tint="0.79998168889431442"/>
        <bgColor rgb="FFCCFFCC"/>
      </patternFill>
    </fill>
    <fill>
      <patternFill patternType="solid">
        <fgColor rgb="FFFFFFCC"/>
        <bgColor rgb="FFDCE6F2"/>
      </patternFill>
    </fill>
    <fill>
      <patternFill patternType="solid">
        <fgColor theme="4" tint="0.79998168889431442"/>
        <bgColor rgb="FFDEEBF7"/>
      </patternFill>
    </fill>
    <fill>
      <patternFill patternType="solid">
        <fgColor theme="8" tint="0.79998168889431442"/>
        <bgColor rgb="FFEBF1DE"/>
      </patternFill>
    </fill>
    <fill>
      <patternFill patternType="solid">
        <fgColor theme="7" tint="0.79998168889431442"/>
        <bgColor rgb="FFDEEBF7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1" fillId="0" borderId="0"/>
    <xf numFmtId="9" fontId="14" fillId="0" borderId="0" applyBorder="0" applyProtection="0"/>
    <xf numFmtId="0" fontId="1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583">
    <xf numFmtId="0" fontId="0" fillId="0" borderId="0" xfId="0"/>
    <xf numFmtId="0" fontId="0" fillId="0" borderId="2" xfId="0" applyBorder="1"/>
    <xf numFmtId="0" fontId="0" fillId="0" borderId="5" xfId="0" applyBorder="1"/>
    <xf numFmtId="0" fontId="2" fillId="0" borderId="4" xfId="0" applyFont="1" applyBorder="1"/>
    <xf numFmtId="0" fontId="2" fillId="0" borderId="5" xfId="0" applyFont="1" applyBorder="1"/>
    <xf numFmtId="0" fontId="2" fillId="0" borderId="3" xfId="0" applyFont="1" applyBorder="1"/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3" xfId="0" applyBorder="1"/>
    <xf numFmtId="0" fontId="4" fillId="0" borderId="3" xfId="0" applyFont="1" applyBorder="1"/>
    <xf numFmtId="0" fontId="2" fillId="5" borderId="4" xfId="0" applyFont="1" applyFill="1" applyBorder="1"/>
    <xf numFmtId="0" fontId="2" fillId="4" borderId="3" xfId="0" applyFont="1" applyFill="1" applyBorder="1"/>
    <xf numFmtId="0" fontId="4" fillId="0" borderId="0" xfId="0" applyFont="1"/>
    <xf numFmtId="0" fontId="0" fillId="4" borderId="5" xfId="0" applyFill="1" applyBorder="1"/>
    <xf numFmtId="2" fontId="2" fillId="0" borderId="5" xfId="0" applyNumberFormat="1" applyFont="1" applyBorder="1" applyAlignment="1">
      <alignment horizontal="right" indent="1"/>
    </xf>
    <xf numFmtId="0" fontId="2" fillId="4" borderId="4" xfId="0" applyFont="1" applyFill="1" applyBorder="1"/>
    <xf numFmtId="2" fontId="2" fillId="4" borderId="5" xfId="0" applyNumberFormat="1" applyFont="1" applyFill="1" applyBorder="1" applyAlignment="1">
      <alignment horizontal="right" indent="1"/>
    </xf>
    <xf numFmtId="0" fontId="4" fillId="0" borderId="5" xfId="0" applyFont="1" applyBorder="1" applyAlignment="1">
      <alignment horizontal="center"/>
    </xf>
    <xf numFmtId="0" fontId="7" fillId="0" borderId="0" xfId="0" applyFont="1"/>
    <xf numFmtId="0" fontId="4" fillId="8" borderId="9" xfId="0" applyFont="1" applyFill="1" applyBorder="1"/>
    <xf numFmtId="2" fontId="4" fillId="0" borderId="5" xfId="0" applyNumberFormat="1" applyFont="1" applyBorder="1" applyAlignment="1">
      <alignment horizontal="right" indent="1"/>
    </xf>
    <xf numFmtId="0" fontId="6" fillId="0" borderId="0" xfId="0" applyFont="1"/>
    <xf numFmtId="0" fontId="2" fillId="0" borderId="0" xfId="0" applyFont="1" applyAlignment="1">
      <alignment horizontal="right" indent="1"/>
    </xf>
    <xf numFmtId="2" fontId="2" fillId="5" borderId="5" xfId="0" applyNumberFormat="1" applyFont="1" applyFill="1" applyBorder="1" applyAlignment="1">
      <alignment horizontal="right" indent="1"/>
    </xf>
    <xf numFmtId="0" fontId="4" fillId="0" borderId="7" xfId="0" applyFont="1" applyBorder="1" applyAlignment="1">
      <alignment horizontal="center"/>
    </xf>
    <xf numFmtId="2" fontId="4" fillId="0" borderId="7" xfId="0" applyNumberFormat="1" applyFont="1" applyBorder="1" applyAlignment="1">
      <alignment horizontal="right" indent="1"/>
    </xf>
    <xf numFmtId="0" fontId="4" fillId="8" borderId="12" xfId="0" applyFont="1" applyFill="1" applyBorder="1"/>
    <xf numFmtId="0" fontId="4" fillId="8" borderId="13" xfId="0" applyFont="1" applyFill="1" applyBorder="1"/>
    <xf numFmtId="0" fontId="4" fillId="8" borderId="6" xfId="0" applyFont="1" applyFill="1" applyBorder="1"/>
    <xf numFmtId="0" fontId="2" fillId="8" borderId="8" xfId="0" applyFont="1" applyFill="1" applyBorder="1" applyAlignment="1">
      <alignment vertical="center"/>
    </xf>
    <xf numFmtId="0" fontId="5" fillId="0" borderId="0" xfId="0" applyFont="1"/>
    <xf numFmtId="0" fontId="0" fillId="8" borderId="7" xfId="0" applyFill="1" applyBorder="1"/>
    <xf numFmtId="0" fontId="9" fillId="10" borderId="5" xfId="0" applyFont="1" applyFill="1" applyBorder="1" applyAlignment="1">
      <alignment horizontal="center"/>
    </xf>
    <xf numFmtId="3" fontId="9" fillId="10" borderId="5" xfId="0" applyNumberFormat="1" applyFont="1" applyFill="1" applyBorder="1" applyAlignment="1">
      <alignment horizontal="right" indent="1"/>
    </xf>
    <xf numFmtId="0" fontId="9" fillId="10" borderId="3" xfId="0" applyFont="1" applyFill="1" applyBorder="1"/>
    <xf numFmtId="0" fontId="9" fillId="0" borderId="5" xfId="0" applyFont="1" applyBorder="1" applyAlignment="1">
      <alignment horizontal="center"/>
    </xf>
    <xf numFmtId="2" fontId="9" fillId="0" borderId="5" xfId="0" applyNumberFormat="1" applyFont="1" applyBorder="1" applyAlignment="1">
      <alignment horizontal="right" indent="1"/>
    </xf>
    <xf numFmtId="2" fontId="9" fillId="0" borderId="9" xfId="0" applyNumberFormat="1" applyFont="1" applyBorder="1" applyAlignment="1">
      <alignment horizontal="right" vertical="center" indent="1"/>
    </xf>
    <xf numFmtId="0" fontId="10" fillId="12" borderId="4" xfId="0" applyFont="1" applyFill="1" applyBorder="1"/>
    <xf numFmtId="0" fontId="9" fillId="12" borderId="5" xfId="0" applyFont="1" applyFill="1" applyBorder="1" applyAlignment="1">
      <alignment horizontal="center"/>
    </xf>
    <xf numFmtId="2" fontId="10" fillId="12" borderId="5" xfId="0" applyNumberFormat="1" applyFont="1" applyFill="1" applyBorder="1" applyAlignment="1">
      <alignment horizontal="right" indent="1"/>
    </xf>
    <xf numFmtId="0" fontId="10" fillId="12" borderId="3" xfId="0" applyFont="1" applyFill="1" applyBorder="1"/>
    <xf numFmtId="1" fontId="2" fillId="0" borderId="5" xfId="0" applyNumberFormat="1" applyFont="1" applyBorder="1" applyAlignment="1">
      <alignment horizontal="right" indent="1"/>
    </xf>
    <xf numFmtId="1" fontId="4" fillId="8" borderId="9" xfId="0" applyNumberFormat="1" applyFont="1" applyFill="1" applyBorder="1" applyAlignment="1">
      <alignment horizontal="right" indent="1"/>
    </xf>
    <xf numFmtId="0" fontId="0" fillId="0" borderId="0" xfId="0" applyAlignment="1">
      <alignment horizontal="center"/>
    </xf>
    <xf numFmtId="0" fontId="9" fillId="10" borderId="4" xfId="0" applyFont="1" applyFill="1" applyBorder="1" applyAlignment="1">
      <alignment vertical="center" wrapText="1"/>
    </xf>
    <xf numFmtId="0" fontId="16" fillId="0" borderId="0" xfId="0" applyFont="1"/>
    <xf numFmtId="0" fontId="17" fillId="0" borderId="0" xfId="0" applyFont="1" applyAlignment="1">
      <alignment horizontal="center" vertical="center" wrapText="1"/>
    </xf>
    <xf numFmtId="0" fontId="10" fillId="0" borderId="4" xfId="0" applyFont="1" applyBorder="1"/>
    <xf numFmtId="0" fontId="10" fillId="0" borderId="3" xfId="0" applyFont="1" applyBorder="1"/>
    <xf numFmtId="0" fontId="10" fillId="0" borderId="4" xfId="0" applyFont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9" fillId="16" borderId="4" xfId="0" applyFont="1" applyFill="1" applyBorder="1" applyAlignment="1">
      <alignment vertical="center" wrapText="1"/>
    </xf>
    <xf numFmtId="0" fontId="9" fillId="16" borderId="5" xfId="0" applyFont="1" applyFill="1" applyBorder="1" applyAlignment="1">
      <alignment horizontal="center"/>
    </xf>
    <xf numFmtId="2" fontId="9" fillId="16" borderId="5" xfId="0" applyNumberFormat="1" applyFont="1" applyFill="1" applyBorder="1" applyAlignment="1">
      <alignment horizontal="right" indent="1"/>
    </xf>
    <xf numFmtId="0" fontId="9" fillId="16" borderId="3" xfId="0" applyFont="1" applyFill="1" applyBorder="1"/>
    <xf numFmtId="0" fontId="4" fillId="4" borderId="3" xfId="0" applyFont="1" applyFill="1" applyBorder="1"/>
    <xf numFmtId="0" fontId="0" fillId="0" borderId="9" xfId="0" applyBorder="1"/>
    <xf numFmtId="0" fontId="0" fillId="0" borderId="13" xfId="0" applyBorder="1"/>
    <xf numFmtId="4" fontId="9" fillId="0" borderId="5" xfId="0" applyNumberFormat="1" applyFont="1" applyBorder="1" applyAlignment="1">
      <alignment horizontal="right" indent="1"/>
    </xf>
    <xf numFmtId="0" fontId="12" fillId="0" borderId="0" xfId="0" applyFont="1" applyAlignment="1">
      <alignment horizontal="center"/>
    </xf>
    <xf numFmtId="0" fontId="9" fillId="15" borderId="4" xfId="0" applyFont="1" applyFill="1" applyBorder="1"/>
    <xf numFmtId="0" fontId="9" fillId="0" borderId="0" xfId="0" applyFont="1"/>
    <xf numFmtId="0" fontId="16" fillId="3" borderId="2" xfId="0" applyFont="1" applyFill="1" applyBorder="1" applyAlignment="1">
      <alignment horizontal="center" vertical="center" wrapText="1"/>
    </xf>
    <xf numFmtId="0" fontId="22" fillId="18" borderId="2" xfId="0" applyFont="1" applyFill="1" applyBorder="1" applyAlignment="1">
      <alignment horizontal="center" vertical="center" wrapText="1"/>
    </xf>
    <xf numFmtId="2" fontId="22" fillId="18" borderId="2" xfId="0" applyNumberFormat="1" applyFont="1" applyFill="1" applyBorder="1" applyAlignment="1">
      <alignment horizontal="center" vertical="center" wrapText="1"/>
    </xf>
    <xf numFmtId="169" fontId="22" fillId="18" borderId="2" xfId="0" applyNumberFormat="1" applyFont="1" applyFill="1" applyBorder="1" applyAlignment="1">
      <alignment horizontal="center" vertical="center" wrapText="1"/>
    </xf>
    <xf numFmtId="11" fontId="0" fillId="0" borderId="2" xfId="0" applyNumberFormat="1" applyBorder="1" applyAlignment="1">
      <alignment horizontal="center"/>
    </xf>
    <xf numFmtId="0" fontId="18" fillId="0" borderId="12" xfId="4" applyBorder="1"/>
    <xf numFmtId="0" fontId="0" fillId="0" borderId="9" xfId="0" applyBorder="1" applyAlignment="1">
      <alignment horizont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9" fillId="0" borderId="4" xfId="0" applyFont="1" applyBorder="1"/>
    <xf numFmtId="0" fontId="9" fillId="0" borderId="3" xfId="0" applyFont="1" applyBorder="1"/>
    <xf numFmtId="0" fontId="2" fillId="4" borderId="5" xfId="0" applyFont="1" applyFill="1" applyBorder="1" applyAlignment="1">
      <alignment horizontal="center"/>
    </xf>
    <xf numFmtId="0" fontId="2" fillId="19" borderId="4" xfId="0" applyFont="1" applyFill="1" applyBorder="1"/>
    <xf numFmtId="2" fontId="2" fillId="19" borderId="5" xfId="0" applyNumberFormat="1" applyFont="1" applyFill="1" applyBorder="1" applyAlignment="1">
      <alignment horizontal="right" indent="1"/>
    </xf>
    <xf numFmtId="0" fontId="2" fillId="19" borderId="3" xfId="0" applyFont="1" applyFill="1" applyBorder="1"/>
    <xf numFmtId="0" fontId="2" fillId="0" borderId="6" xfId="0" applyFont="1" applyBorder="1"/>
    <xf numFmtId="0" fontId="2" fillId="0" borderId="8" xfId="0" applyFont="1" applyBorder="1"/>
    <xf numFmtId="0" fontId="9" fillId="15" borderId="5" xfId="0" applyFont="1" applyFill="1" applyBorder="1"/>
    <xf numFmtId="0" fontId="9" fillId="15" borderId="3" xfId="0" applyFont="1" applyFill="1" applyBorder="1"/>
    <xf numFmtId="2" fontId="16" fillId="0" borderId="0" xfId="0" applyNumberFormat="1" applyFont="1" applyAlignment="1">
      <alignment horizontal="center"/>
    </xf>
    <xf numFmtId="0" fontId="24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 wrapText="1"/>
    </xf>
    <xf numFmtId="2" fontId="9" fillId="15" borderId="5" xfId="0" applyNumberFormat="1" applyFont="1" applyFill="1" applyBorder="1" applyAlignment="1">
      <alignment horizontal="right" indent="1"/>
    </xf>
    <xf numFmtId="0" fontId="4" fillId="0" borderId="5" xfId="0" applyFont="1" applyBorder="1"/>
    <xf numFmtId="0" fontId="6" fillId="19" borderId="5" xfId="0" applyFont="1" applyFill="1" applyBorder="1" applyAlignment="1">
      <alignment horizontal="center"/>
    </xf>
    <xf numFmtId="2" fontId="4" fillId="19" borderId="5" xfId="0" applyNumberFormat="1" applyFont="1" applyFill="1" applyBorder="1" applyAlignment="1">
      <alignment horizontal="right" indent="1"/>
    </xf>
    <xf numFmtId="0" fontId="4" fillId="5" borderId="5" xfId="0" applyFont="1" applyFill="1" applyBorder="1" applyAlignment="1">
      <alignment horizontal="center"/>
    </xf>
    <xf numFmtId="0" fontId="4" fillId="19" borderId="5" xfId="0" applyFont="1" applyFill="1" applyBorder="1"/>
    <xf numFmtId="0" fontId="2" fillId="6" borderId="4" xfId="0" applyFont="1" applyFill="1" applyBorder="1"/>
    <xf numFmtId="0" fontId="6" fillId="6" borderId="5" xfId="0" applyFont="1" applyFill="1" applyBorder="1" applyAlignment="1">
      <alignment horizontal="center"/>
    </xf>
    <xf numFmtId="1" fontId="2" fillId="6" borderId="5" xfId="0" applyNumberFormat="1" applyFont="1" applyFill="1" applyBorder="1" applyAlignment="1">
      <alignment horizontal="right" indent="1"/>
    </xf>
    <xf numFmtId="0" fontId="2" fillId="6" borderId="3" xfId="0" applyFont="1" applyFill="1" applyBorder="1"/>
    <xf numFmtId="0" fontId="4" fillId="0" borderId="4" xfId="0" applyFont="1" applyBorder="1"/>
    <xf numFmtId="0" fontId="6" fillId="0" borderId="5" xfId="0" applyFont="1" applyBorder="1" applyAlignment="1">
      <alignment horizontal="center"/>
    </xf>
    <xf numFmtId="2" fontId="4" fillId="0" borderId="3" xfId="0" applyNumberFormat="1" applyFont="1" applyBorder="1"/>
    <xf numFmtId="0" fontId="4" fillId="0" borderId="4" xfId="0" applyFont="1" applyBorder="1" applyAlignment="1">
      <alignment horizontal="right"/>
    </xf>
    <xf numFmtId="0" fontId="9" fillId="20" borderId="4" xfId="0" applyFont="1" applyFill="1" applyBorder="1" applyAlignment="1">
      <alignment horizontal="left" vertical="center"/>
    </xf>
    <xf numFmtId="0" fontId="10" fillId="20" borderId="5" xfId="0" applyFont="1" applyFill="1" applyBorder="1" applyAlignment="1">
      <alignment vertical="center"/>
    </xf>
    <xf numFmtId="0" fontId="10" fillId="21" borderId="8" xfId="0" applyFont="1" applyFill="1" applyBorder="1"/>
    <xf numFmtId="0" fontId="4" fillId="19" borderId="4" xfId="0" applyFont="1" applyFill="1" applyBorder="1"/>
    <xf numFmtId="0" fontId="4" fillId="19" borderId="7" xfId="0" applyFont="1" applyFill="1" applyBorder="1" applyAlignment="1">
      <alignment horizontal="center"/>
    </xf>
    <xf numFmtId="0" fontId="3" fillId="0" borderId="9" xfId="0" applyFont="1" applyBorder="1"/>
    <xf numFmtId="2" fontId="3" fillId="2" borderId="9" xfId="0" applyNumberFormat="1" applyFont="1" applyFill="1" applyBorder="1" applyAlignment="1">
      <alignment horizontal="right" indent="1"/>
    </xf>
    <xf numFmtId="0" fontId="2" fillId="19" borderId="6" xfId="0" applyFont="1" applyFill="1" applyBorder="1"/>
    <xf numFmtId="0" fontId="2" fillId="19" borderId="8" xfId="0" applyFont="1" applyFill="1" applyBorder="1"/>
    <xf numFmtId="0" fontId="4" fillId="6" borderId="4" xfId="0" applyFont="1" applyFill="1" applyBorder="1"/>
    <xf numFmtId="9" fontId="4" fillId="6" borderId="5" xfId="1" applyFont="1" applyFill="1" applyBorder="1" applyAlignment="1">
      <alignment horizontal="right" indent="1"/>
    </xf>
    <xf numFmtId="0" fontId="4" fillId="19" borderId="5" xfId="0" applyFont="1" applyFill="1" applyBorder="1" applyAlignment="1">
      <alignment horizontal="center"/>
    </xf>
    <xf numFmtId="0" fontId="2" fillId="19" borderId="3" xfId="0" applyFont="1" applyFill="1" applyBorder="1" applyAlignment="1">
      <alignment horizontal="left"/>
    </xf>
    <xf numFmtId="0" fontId="4" fillId="6" borderId="5" xfId="0" applyFont="1" applyFill="1" applyBorder="1" applyAlignment="1">
      <alignment horizontal="center"/>
    </xf>
    <xf numFmtId="2" fontId="2" fillId="6" borderId="5" xfId="0" applyNumberFormat="1" applyFont="1" applyFill="1" applyBorder="1" applyAlignment="1">
      <alignment horizontal="right" indent="1"/>
    </xf>
    <xf numFmtId="0" fontId="2" fillId="9" borderId="4" xfId="0" applyFont="1" applyFill="1" applyBorder="1"/>
    <xf numFmtId="0" fontId="4" fillId="9" borderId="5" xfId="0" applyFont="1" applyFill="1" applyBorder="1" applyAlignment="1">
      <alignment horizontal="center"/>
    </xf>
    <xf numFmtId="0" fontId="2" fillId="9" borderId="3" xfId="0" applyFont="1" applyFill="1" applyBorder="1"/>
    <xf numFmtId="0" fontId="16" fillId="0" borderId="2" xfId="0" applyFont="1" applyBorder="1" applyAlignment="1">
      <alignment horizontal="right"/>
    </xf>
    <xf numFmtId="0" fontId="4" fillId="9" borderId="4" xfId="0" applyFont="1" applyFill="1" applyBorder="1"/>
    <xf numFmtId="0" fontId="4" fillId="9" borderId="3" xfId="0" applyFont="1" applyFill="1" applyBorder="1"/>
    <xf numFmtId="0" fontId="4" fillId="19" borderId="3" xfId="0" applyFont="1" applyFill="1" applyBorder="1"/>
    <xf numFmtId="0" fontId="4" fillId="4" borderId="5" xfId="0" applyFont="1" applyFill="1" applyBorder="1" applyAlignment="1">
      <alignment horizontal="center"/>
    </xf>
    <xf numFmtId="0" fontId="2" fillId="5" borderId="3" xfId="0" applyFont="1" applyFill="1" applyBorder="1"/>
    <xf numFmtId="3" fontId="2" fillId="0" borderId="7" xfId="0" applyNumberFormat="1" applyFont="1" applyBorder="1" applyAlignment="1">
      <alignment horizontal="right" indent="1"/>
    </xf>
    <xf numFmtId="0" fontId="2" fillId="9" borderId="6" xfId="0" applyFont="1" applyFill="1" applyBorder="1"/>
    <xf numFmtId="0" fontId="4" fillId="9" borderId="7" xfId="0" applyFont="1" applyFill="1" applyBorder="1" applyAlignment="1">
      <alignment horizontal="center"/>
    </xf>
    <xf numFmtId="0" fontId="2" fillId="9" borderId="8" xfId="0" applyFont="1" applyFill="1" applyBorder="1"/>
    <xf numFmtId="0" fontId="9" fillId="0" borderId="5" xfId="0" applyFont="1" applyBorder="1"/>
    <xf numFmtId="1" fontId="9" fillId="0" borderId="5" xfId="0" applyNumberFormat="1" applyFont="1" applyBorder="1" applyAlignment="1">
      <alignment horizontal="right" indent="1"/>
    </xf>
    <xf numFmtId="1" fontId="2" fillId="9" borderId="5" xfId="1" applyNumberFormat="1" applyFont="1" applyFill="1" applyBorder="1" applyAlignment="1">
      <alignment horizontal="right" indent="1"/>
    </xf>
    <xf numFmtId="0" fontId="10" fillId="21" borderId="3" xfId="0" applyFont="1" applyFill="1" applyBorder="1"/>
    <xf numFmtId="0" fontId="10" fillId="19" borderId="5" xfId="0" applyFont="1" applyFill="1" applyBorder="1" applyAlignment="1">
      <alignment vertical="center"/>
    </xf>
    <xf numFmtId="4" fontId="9" fillId="15" borderId="5" xfId="0" applyNumberFormat="1" applyFont="1" applyFill="1" applyBorder="1" applyAlignment="1">
      <alignment horizontal="right" indent="1"/>
    </xf>
    <xf numFmtId="0" fontId="9" fillId="0" borderId="4" xfId="0" applyFont="1" applyBorder="1" applyAlignment="1">
      <alignment horizontal="left" vertical="center"/>
    </xf>
    <xf numFmtId="10" fontId="4" fillId="0" borderId="4" xfId="0" applyNumberFormat="1" applyFont="1" applyBorder="1"/>
    <xf numFmtId="164" fontId="4" fillId="0" borderId="5" xfId="0" applyNumberFormat="1" applyFont="1" applyBorder="1"/>
    <xf numFmtId="165" fontId="4" fillId="0" borderId="2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0" fontId="4" fillId="3" borderId="2" xfId="0" applyFont="1" applyFill="1" applyBorder="1" applyAlignment="1">
      <alignment horizontal="center" vertical="center" wrapText="1"/>
    </xf>
    <xf numFmtId="0" fontId="9" fillId="24" borderId="4" xfId="0" applyFont="1" applyFill="1" applyBorder="1"/>
    <xf numFmtId="0" fontId="9" fillId="24" borderId="5" xfId="0" applyFont="1" applyFill="1" applyBorder="1"/>
    <xf numFmtId="2" fontId="9" fillId="24" borderId="5" xfId="0" applyNumberFormat="1" applyFont="1" applyFill="1" applyBorder="1" applyAlignment="1">
      <alignment horizontal="right" indent="1"/>
    </xf>
    <xf numFmtId="0" fontId="9" fillId="24" borderId="3" xfId="0" applyFont="1" applyFill="1" applyBorder="1"/>
    <xf numFmtId="166" fontId="16" fillId="3" borderId="5" xfId="0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left" vertical="center"/>
    </xf>
    <xf numFmtId="0" fontId="10" fillId="0" borderId="5" xfId="0" applyFont="1" applyBorder="1"/>
    <xf numFmtId="0" fontId="9" fillId="0" borderId="4" xfId="0" applyFont="1" applyBorder="1" applyAlignment="1">
      <alignment vertical="center" wrapText="1"/>
    </xf>
    <xf numFmtId="0" fontId="23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4" fillId="4" borderId="4" xfId="0" applyFont="1" applyFill="1" applyBorder="1"/>
    <xf numFmtId="0" fontId="4" fillId="0" borderId="7" xfId="0" applyFont="1" applyBorder="1"/>
    <xf numFmtId="4" fontId="2" fillId="0" borderId="7" xfId="0" applyNumberFormat="1" applyFont="1" applyBorder="1" applyAlignment="1">
      <alignment horizontal="right" indent="1"/>
    </xf>
    <xf numFmtId="4" fontId="2" fillId="0" borderId="5" xfId="0" applyNumberFormat="1" applyFont="1" applyBorder="1" applyAlignment="1">
      <alignment horizontal="right" indent="1"/>
    </xf>
    <xf numFmtId="2" fontId="4" fillId="6" borderId="5" xfId="0" applyNumberFormat="1" applyFont="1" applyFill="1" applyBorder="1" applyAlignment="1">
      <alignment horizontal="right" indent="1"/>
    </xf>
    <xf numFmtId="171" fontId="2" fillId="8" borderId="7" xfId="0" applyNumberFormat="1" applyFont="1" applyFill="1" applyBorder="1" applyAlignment="1">
      <alignment horizontal="right" vertical="center" indent="1"/>
    </xf>
    <xf numFmtId="0" fontId="17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right"/>
    </xf>
    <xf numFmtId="0" fontId="6" fillId="5" borderId="5" xfId="0" applyFont="1" applyFill="1" applyBorder="1" applyAlignment="1">
      <alignment horizontal="center"/>
    </xf>
    <xf numFmtId="0" fontId="10" fillId="25" borderId="4" xfId="0" applyFont="1" applyFill="1" applyBorder="1"/>
    <xf numFmtId="0" fontId="10" fillId="25" borderId="5" xfId="0" applyFont="1" applyFill="1" applyBorder="1" applyAlignment="1">
      <alignment horizontal="center"/>
    </xf>
    <xf numFmtId="0" fontId="10" fillId="25" borderId="3" xfId="0" applyFont="1" applyFill="1" applyBorder="1"/>
    <xf numFmtId="2" fontId="10" fillId="25" borderId="5" xfId="0" applyNumberFormat="1" applyFont="1" applyFill="1" applyBorder="1" applyAlignment="1">
      <alignment horizontal="right" vertical="center" indent="1"/>
    </xf>
    <xf numFmtId="0" fontId="9" fillId="6" borderId="4" xfId="0" applyFont="1" applyFill="1" applyBorder="1"/>
    <xf numFmtId="0" fontId="9" fillId="6" borderId="5" xfId="0" applyFont="1" applyFill="1" applyBorder="1" applyAlignment="1">
      <alignment horizontal="center"/>
    </xf>
    <xf numFmtId="2" fontId="9" fillId="6" borderId="5" xfId="0" applyNumberFormat="1" applyFont="1" applyFill="1" applyBorder="1" applyAlignment="1">
      <alignment horizontal="right" indent="1"/>
    </xf>
    <xf numFmtId="0" fontId="9" fillId="6" borderId="4" xfId="0" applyFont="1" applyFill="1" applyBorder="1" applyAlignment="1">
      <alignment horizontal="left"/>
    </xf>
    <xf numFmtId="1" fontId="9" fillId="6" borderId="5" xfId="0" applyNumberFormat="1" applyFont="1" applyFill="1" applyBorder="1" applyAlignment="1">
      <alignment horizontal="right" indent="1"/>
    </xf>
    <xf numFmtId="0" fontId="4" fillId="0" borderId="6" xfId="0" applyFont="1" applyBorder="1"/>
    <xf numFmtId="0" fontId="4" fillId="0" borderId="8" xfId="0" applyFont="1" applyBorder="1"/>
    <xf numFmtId="4" fontId="4" fillId="0" borderId="7" xfId="0" applyNumberFormat="1" applyFont="1" applyBorder="1" applyAlignment="1">
      <alignment horizontal="right" indent="1"/>
    </xf>
    <xf numFmtId="2" fontId="4" fillId="9" borderId="5" xfId="0" applyNumberFormat="1" applyFont="1" applyFill="1" applyBorder="1" applyAlignment="1">
      <alignment horizontal="right" indent="1"/>
    </xf>
    <xf numFmtId="0" fontId="6" fillId="0" borderId="4" xfId="0" applyFont="1" applyBorder="1" applyAlignment="1">
      <alignment horizontal="right"/>
    </xf>
    <xf numFmtId="0" fontId="0" fillId="5" borderId="5" xfId="0" applyFill="1" applyBorder="1"/>
    <xf numFmtId="0" fontId="2" fillId="0" borderId="4" xfId="0" applyFont="1" applyBorder="1" applyAlignment="1">
      <alignment wrapText="1"/>
    </xf>
    <xf numFmtId="10" fontId="2" fillId="19" borderId="5" xfId="0" applyNumberFormat="1" applyFont="1" applyFill="1" applyBorder="1" applyAlignment="1">
      <alignment horizontal="center"/>
    </xf>
    <xf numFmtId="10" fontId="2" fillId="0" borderId="5" xfId="0" applyNumberFormat="1" applyFont="1" applyBorder="1" applyAlignment="1">
      <alignment horizontal="center"/>
    </xf>
    <xf numFmtId="10" fontId="2" fillId="6" borderId="5" xfId="0" applyNumberFormat="1" applyFont="1" applyFill="1" applyBorder="1" applyAlignment="1">
      <alignment horizontal="center"/>
    </xf>
    <xf numFmtId="0" fontId="16" fillId="0" borderId="11" xfId="0" applyFont="1" applyBorder="1" applyAlignment="1">
      <alignment horizontal="right"/>
    </xf>
    <xf numFmtId="0" fontId="9" fillId="26" borderId="4" xfId="0" applyFont="1" applyFill="1" applyBorder="1" applyAlignment="1">
      <alignment vertical="center" wrapText="1"/>
    </xf>
    <xf numFmtId="4" fontId="9" fillId="26" borderId="5" xfId="0" applyNumberFormat="1" applyFont="1" applyFill="1" applyBorder="1" applyAlignment="1">
      <alignment horizontal="right" indent="1"/>
    </xf>
    <xf numFmtId="0" fontId="4" fillId="6" borderId="4" xfId="0" applyFont="1" applyFill="1" applyBorder="1" applyAlignment="1">
      <alignment horizontal="left"/>
    </xf>
    <xf numFmtId="170" fontId="4" fillId="6" borderId="5" xfId="0" applyNumberFormat="1" applyFont="1" applyFill="1" applyBorder="1"/>
    <xf numFmtId="0" fontId="4" fillId="6" borderId="3" xfId="0" applyFont="1" applyFill="1" applyBorder="1" applyAlignment="1">
      <alignment horizontal="left"/>
    </xf>
    <xf numFmtId="11" fontId="2" fillId="0" borderId="7" xfId="0" applyNumberFormat="1" applyFont="1" applyBorder="1" applyAlignment="1">
      <alignment horizontal="right" indent="1"/>
    </xf>
    <xf numFmtId="2" fontId="2" fillId="0" borderId="7" xfId="0" applyNumberFormat="1" applyFont="1" applyBorder="1" applyAlignment="1">
      <alignment horizontal="right" indent="1"/>
    </xf>
    <xf numFmtId="11" fontId="9" fillId="24" borderId="5" xfId="0" applyNumberFormat="1" applyFont="1" applyFill="1" applyBorder="1" applyAlignment="1">
      <alignment horizontal="right" indent="1"/>
    </xf>
    <xf numFmtId="2" fontId="9" fillId="17" borderId="5" xfId="0" applyNumberFormat="1" applyFont="1" applyFill="1" applyBorder="1" applyAlignment="1">
      <alignment horizontal="right" indent="1"/>
    </xf>
    <xf numFmtId="0" fontId="9" fillId="0" borderId="6" xfId="0" applyFont="1" applyBorder="1" applyAlignment="1">
      <alignment vertical="center"/>
    </xf>
    <xf numFmtId="9" fontId="9" fillId="0" borderId="7" xfId="0" applyNumberFormat="1" applyFont="1" applyBorder="1" applyAlignment="1">
      <alignment horizontal="center"/>
    </xf>
    <xf numFmtId="2" fontId="9" fillId="17" borderId="7" xfId="0" applyNumberFormat="1" applyFont="1" applyFill="1" applyBorder="1" applyAlignment="1">
      <alignment horizontal="right" indent="1"/>
    </xf>
    <xf numFmtId="0" fontId="9" fillId="17" borderId="8" xfId="0" applyFont="1" applyFill="1" applyBorder="1"/>
    <xf numFmtId="0" fontId="2" fillId="0" borderId="12" xfId="0" applyFont="1" applyBorder="1" applyAlignment="1">
      <alignment horizontal="center"/>
    </xf>
    <xf numFmtId="2" fontId="9" fillId="17" borderId="9" xfId="0" applyNumberFormat="1" applyFont="1" applyFill="1" applyBorder="1" applyAlignment="1">
      <alignment horizontal="right" indent="1"/>
    </xf>
    <xf numFmtId="0" fontId="2" fillId="0" borderId="1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9" fontId="9" fillId="4" borderId="5" xfId="0" applyNumberFormat="1" applyFont="1" applyFill="1" applyBorder="1" applyAlignment="1">
      <alignment horizontal="right" indent="1"/>
    </xf>
    <xf numFmtId="0" fontId="2" fillId="4" borderId="3" xfId="0" applyFont="1" applyFill="1" applyBorder="1" applyAlignment="1">
      <alignment horizontal="left"/>
    </xf>
    <xf numFmtId="9" fontId="4" fillId="9" borderId="5" xfId="0" applyNumberFormat="1" applyFont="1" applyFill="1" applyBorder="1" applyAlignment="1">
      <alignment horizontal="center"/>
    </xf>
    <xf numFmtId="0" fontId="9" fillId="22" borderId="4" xfId="0" applyFont="1" applyFill="1" applyBorder="1"/>
    <xf numFmtId="2" fontId="9" fillId="22" borderId="5" xfId="0" applyNumberFormat="1" applyFont="1" applyFill="1" applyBorder="1" applyAlignment="1">
      <alignment horizontal="right" indent="1"/>
    </xf>
    <xf numFmtId="0" fontId="9" fillId="22" borderId="3" xfId="0" applyFont="1" applyFill="1" applyBorder="1"/>
    <xf numFmtId="0" fontId="4" fillId="6" borderId="3" xfId="0" applyFont="1" applyFill="1" applyBorder="1"/>
    <xf numFmtId="9" fontId="2" fillId="9" borderId="5" xfId="1" applyFont="1" applyFill="1" applyBorder="1" applyAlignment="1">
      <alignment horizontal="right" indent="1"/>
    </xf>
    <xf numFmtId="0" fontId="6" fillId="9" borderId="5" xfId="0" applyFont="1" applyFill="1" applyBorder="1" applyAlignment="1">
      <alignment horizontal="center"/>
    </xf>
    <xf numFmtId="0" fontId="4" fillId="19" borderId="6" xfId="0" applyFont="1" applyFill="1" applyBorder="1"/>
    <xf numFmtId="0" fontId="4" fillId="19" borderId="8" xfId="0" applyFont="1" applyFill="1" applyBorder="1"/>
    <xf numFmtId="0" fontId="9" fillId="15" borderId="5" xfId="0" applyFont="1" applyFill="1" applyBorder="1" applyAlignment="1">
      <alignment horizontal="center"/>
    </xf>
    <xf numFmtId="0" fontId="28" fillId="15" borderId="4" xfId="0" applyFont="1" applyFill="1" applyBorder="1"/>
    <xf numFmtId="0" fontId="9" fillId="0" borderId="4" xfId="0" applyFont="1" applyBorder="1" applyAlignment="1">
      <alignment vertical="center"/>
    </xf>
    <xf numFmtId="0" fontId="9" fillId="26" borderId="3" xfId="0" applyFont="1" applyFill="1" applyBorder="1"/>
    <xf numFmtId="3" fontId="9" fillId="0" borderId="9" xfId="0" applyNumberFormat="1" applyFont="1" applyBorder="1" applyAlignment="1">
      <alignment horizontal="right" vertical="center" indent="1"/>
    </xf>
    <xf numFmtId="0" fontId="0" fillId="9" borderId="5" xfId="0" applyFill="1" applyBorder="1"/>
    <xf numFmtId="9" fontId="2" fillId="9" borderId="5" xfId="0" applyNumberFormat="1" applyFont="1" applyFill="1" applyBorder="1" applyAlignment="1">
      <alignment horizontal="right" indent="1"/>
    </xf>
    <xf numFmtId="0" fontId="2" fillId="0" borderId="4" xfId="0" applyFont="1" applyBorder="1" applyAlignment="1">
      <alignment vertical="center" wrapText="1"/>
    </xf>
    <xf numFmtId="0" fontId="4" fillId="27" borderId="4" xfId="0" applyFont="1" applyFill="1" applyBorder="1" applyAlignment="1">
      <alignment horizontal="left" vertical="center" wrapText="1"/>
    </xf>
    <xf numFmtId="10" fontId="4" fillId="27" borderId="5" xfId="0" applyNumberFormat="1" applyFont="1" applyFill="1" applyBorder="1" applyAlignment="1">
      <alignment horizontal="center"/>
    </xf>
    <xf numFmtId="165" fontId="9" fillId="27" borderId="5" xfId="0" applyNumberFormat="1" applyFont="1" applyFill="1" applyBorder="1" applyAlignment="1">
      <alignment horizontal="right" vertical="center" indent="1"/>
    </xf>
    <xf numFmtId="0" fontId="4" fillId="27" borderId="3" xfId="0" applyFont="1" applyFill="1" applyBorder="1"/>
    <xf numFmtId="2" fontId="9" fillId="4" borderId="5" xfId="0" applyNumberFormat="1" applyFont="1" applyFill="1" applyBorder="1" applyAlignment="1">
      <alignment horizontal="right" vertical="center" indent="1"/>
    </xf>
    <xf numFmtId="0" fontId="9" fillId="24" borderId="5" xfId="0" applyFont="1" applyFill="1" applyBorder="1" applyAlignment="1">
      <alignment horizontal="center"/>
    </xf>
    <xf numFmtId="0" fontId="2" fillId="0" borderId="10" xfId="0" applyFont="1" applyBorder="1"/>
    <xf numFmtId="0" fontId="9" fillId="20" borderId="12" xfId="0" applyFont="1" applyFill="1" applyBorder="1" applyAlignment="1">
      <alignment horizontal="left" vertical="center"/>
    </xf>
    <xf numFmtId="0" fontId="10" fillId="20" borderId="9" xfId="0" applyFont="1" applyFill="1" applyBorder="1" applyAlignment="1">
      <alignment vertical="center"/>
    </xf>
    <xf numFmtId="0" fontId="10" fillId="21" borderId="13" xfId="0" applyFont="1" applyFill="1" applyBorder="1"/>
    <xf numFmtId="0" fontId="9" fillId="20" borderId="6" xfId="0" applyFont="1" applyFill="1" applyBorder="1" applyAlignment="1">
      <alignment horizontal="left" vertical="center"/>
    </xf>
    <xf numFmtId="0" fontId="10" fillId="20" borderId="7" xfId="0" applyFont="1" applyFill="1" applyBorder="1" applyAlignment="1">
      <alignment vertical="center"/>
    </xf>
    <xf numFmtId="3" fontId="2" fillId="9" borderId="7" xfId="0" applyNumberFormat="1" applyFont="1" applyFill="1" applyBorder="1" applyAlignment="1">
      <alignment horizontal="right" indent="1"/>
    </xf>
    <xf numFmtId="4" fontId="2" fillId="19" borderId="7" xfId="0" applyNumberFormat="1" applyFont="1" applyFill="1" applyBorder="1" applyAlignment="1">
      <alignment horizontal="right" indent="1"/>
    </xf>
    <xf numFmtId="0" fontId="10" fillId="19" borderId="3" xfId="0" applyFont="1" applyFill="1" applyBorder="1"/>
    <xf numFmtId="1" fontId="9" fillId="24" borderId="5" xfId="0" applyNumberFormat="1" applyFont="1" applyFill="1" applyBorder="1" applyAlignment="1">
      <alignment horizontal="right" indent="1"/>
    </xf>
    <xf numFmtId="0" fontId="2" fillId="6" borderId="6" xfId="0" applyFont="1" applyFill="1" applyBorder="1"/>
    <xf numFmtId="0" fontId="4" fillId="6" borderId="7" xfId="0" applyFont="1" applyFill="1" applyBorder="1" applyAlignment="1">
      <alignment horizontal="center"/>
    </xf>
    <xf numFmtId="3" fontId="2" fillId="6" borderId="7" xfId="0" applyNumberFormat="1" applyFont="1" applyFill="1" applyBorder="1" applyAlignment="1">
      <alignment horizontal="right" indent="1"/>
    </xf>
    <xf numFmtId="0" fontId="2" fillId="6" borderId="8" xfId="0" applyFont="1" applyFill="1" applyBorder="1"/>
    <xf numFmtId="0" fontId="13" fillId="0" borderId="4" xfId="0" applyFont="1" applyBorder="1" applyAlignment="1">
      <alignment horizontal="right" vertical="center"/>
    </xf>
    <xf numFmtId="4" fontId="9" fillId="15" borderId="7" xfId="0" applyNumberFormat="1" applyFont="1" applyFill="1" applyBorder="1" applyAlignment="1">
      <alignment horizontal="right" indent="1"/>
    </xf>
    <xf numFmtId="0" fontId="9" fillId="20" borderId="11" xfId="0" applyFont="1" applyFill="1" applyBorder="1" applyAlignment="1">
      <alignment horizontal="left" vertical="center"/>
    </xf>
    <xf numFmtId="0" fontId="10" fillId="21" borderId="10" xfId="0" applyFont="1" applyFill="1" applyBorder="1"/>
    <xf numFmtId="4" fontId="9" fillId="15" borderId="9" xfId="0" applyNumberFormat="1" applyFont="1" applyFill="1" applyBorder="1" applyAlignment="1">
      <alignment horizontal="right" indent="1"/>
    </xf>
    <xf numFmtId="0" fontId="2" fillId="19" borderId="12" xfId="0" applyFont="1" applyFill="1" applyBorder="1"/>
    <xf numFmtId="0" fontId="4" fillId="19" borderId="9" xfId="0" applyFont="1" applyFill="1" applyBorder="1"/>
    <xf numFmtId="0" fontId="10" fillId="19" borderId="13" xfId="0" applyFont="1" applyFill="1" applyBorder="1"/>
    <xf numFmtId="0" fontId="4" fillId="19" borderId="7" xfId="0" applyFont="1" applyFill="1" applyBorder="1"/>
    <xf numFmtId="2" fontId="4" fillId="19" borderId="7" xfId="0" applyNumberFormat="1" applyFont="1" applyFill="1" applyBorder="1" applyAlignment="1">
      <alignment horizontal="right" indent="1"/>
    </xf>
    <xf numFmtId="0" fontId="10" fillId="19" borderId="8" xfId="0" applyFont="1" applyFill="1" applyBorder="1"/>
    <xf numFmtId="10" fontId="2" fillId="19" borderId="7" xfId="1" applyNumberFormat="1" applyFont="1" applyFill="1" applyBorder="1" applyAlignment="1">
      <alignment horizontal="center"/>
    </xf>
    <xf numFmtId="3" fontId="2" fillId="19" borderId="7" xfId="0" applyNumberFormat="1" applyFont="1" applyFill="1" applyBorder="1" applyAlignment="1">
      <alignment horizontal="right" indent="1"/>
    </xf>
    <xf numFmtId="0" fontId="9" fillId="0" borderId="5" xfId="0" applyFont="1" applyBorder="1" applyAlignment="1">
      <alignment horizontal="center" vertical="center"/>
    </xf>
    <xf numFmtId="3" fontId="9" fillId="0" borderId="5" xfId="0" applyNumberFormat="1" applyFont="1" applyBorder="1" applyAlignment="1">
      <alignment horizontal="right" vertical="center" indent="1"/>
    </xf>
    <xf numFmtId="0" fontId="9" fillId="29" borderId="4" xfId="0" applyFont="1" applyFill="1" applyBorder="1" applyAlignment="1">
      <alignment vertical="center" wrapText="1"/>
    </xf>
    <xf numFmtId="0" fontId="9" fillId="29" borderId="5" xfId="0" applyFont="1" applyFill="1" applyBorder="1" applyAlignment="1">
      <alignment horizontal="center" vertical="center"/>
    </xf>
    <xf numFmtId="11" fontId="9" fillId="29" borderId="5" xfId="0" applyNumberFormat="1" applyFont="1" applyFill="1" applyBorder="1" applyAlignment="1">
      <alignment horizontal="right" vertical="center" indent="1"/>
    </xf>
    <xf numFmtId="0" fontId="13" fillId="14" borderId="5" xfId="0" applyFont="1" applyFill="1" applyBorder="1" applyAlignment="1">
      <alignment horizontal="center"/>
    </xf>
    <xf numFmtId="2" fontId="9" fillId="14" borderId="5" xfId="0" applyNumberFormat="1" applyFont="1" applyFill="1" applyBorder="1" applyAlignment="1">
      <alignment horizontal="right" vertical="center" indent="1"/>
    </xf>
    <xf numFmtId="0" fontId="3" fillId="0" borderId="4" xfId="0" applyFont="1" applyBorder="1"/>
    <xf numFmtId="0" fontId="4" fillId="2" borderId="5" xfId="0" applyFont="1" applyFill="1" applyBorder="1" applyAlignment="1">
      <alignment horizontal="center"/>
    </xf>
    <xf numFmtId="2" fontId="4" fillId="2" borderId="5" xfId="0" applyNumberFormat="1" applyFont="1" applyFill="1" applyBorder="1" applyAlignment="1">
      <alignment horizontal="right" indent="1"/>
    </xf>
    <xf numFmtId="0" fontId="4" fillId="2" borderId="3" xfId="0" applyFont="1" applyFill="1" applyBorder="1"/>
    <xf numFmtId="0" fontId="4" fillId="6" borderId="6" xfId="0" applyFont="1" applyFill="1" applyBorder="1" applyAlignment="1">
      <alignment horizontal="left"/>
    </xf>
    <xf numFmtId="0" fontId="4" fillId="6" borderId="8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6" fillId="19" borderId="5" xfId="0" applyFont="1" applyFill="1" applyBorder="1" applyAlignment="1">
      <alignment horizontal="left"/>
    </xf>
    <xf numFmtId="4" fontId="4" fillId="19" borderId="5" xfId="0" applyNumberFormat="1" applyFont="1" applyFill="1" applyBorder="1" applyAlignment="1">
      <alignment horizontal="right" indent="1"/>
    </xf>
    <xf numFmtId="0" fontId="17" fillId="0" borderId="9" xfId="0" applyFont="1" applyBorder="1" applyAlignment="1">
      <alignment horizontal="center" vertical="center" wrapText="1"/>
    </xf>
    <xf numFmtId="0" fontId="2" fillId="4" borderId="6" xfId="0" applyFont="1" applyFill="1" applyBorder="1"/>
    <xf numFmtId="0" fontId="4" fillId="4" borderId="8" xfId="0" applyFont="1" applyFill="1" applyBorder="1"/>
    <xf numFmtId="0" fontId="2" fillId="4" borderId="7" xfId="0" applyFont="1" applyFill="1" applyBorder="1" applyAlignment="1">
      <alignment horizontal="center"/>
    </xf>
    <xf numFmtId="1" fontId="4" fillId="0" borderId="5" xfId="0" applyNumberFormat="1" applyFont="1" applyBorder="1" applyAlignment="1">
      <alignment horizontal="right" indent="1"/>
    </xf>
    <xf numFmtId="0" fontId="9" fillId="19" borderId="12" xfId="0" applyFont="1" applyFill="1" applyBorder="1" applyAlignment="1">
      <alignment horizontal="left" vertical="center"/>
    </xf>
    <xf numFmtId="0" fontId="10" fillId="19" borderId="9" xfId="0" applyFont="1" applyFill="1" applyBorder="1" applyAlignment="1">
      <alignment vertical="center"/>
    </xf>
    <xf numFmtId="10" fontId="9" fillId="22" borderId="9" xfId="0" applyNumberFormat="1" applyFont="1" applyFill="1" applyBorder="1" applyAlignment="1">
      <alignment horizontal="right" indent="1"/>
    </xf>
    <xf numFmtId="0" fontId="10" fillId="23" borderId="13" xfId="0" applyFont="1" applyFill="1" applyBorder="1"/>
    <xf numFmtId="3" fontId="2" fillId="19" borderId="5" xfId="0" applyNumberFormat="1" applyFont="1" applyFill="1" applyBorder="1" applyAlignment="1">
      <alignment horizontal="right" indent="1"/>
    </xf>
    <xf numFmtId="10" fontId="4" fillId="0" borderId="7" xfId="0" applyNumberFormat="1" applyFont="1" applyBorder="1" applyAlignment="1">
      <alignment horizontal="center"/>
    </xf>
    <xf numFmtId="10" fontId="4" fillId="0" borderId="5" xfId="0" applyNumberFormat="1" applyFont="1" applyBorder="1" applyAlignment="1">
      <alignment horizontal="center"/>
    </xf>
    <xf numFmtId="10" fontId="4" fillId="19" borderId="5" xfId="0" applyNumberFormat="1" applyFont="1" applyFill="1" applyBorder="1" applyAlignment="1">
      <alignment horizontal="center"/>
    </xf>
    <xf numFmtId="10" fontId="6" fillId="19" borderId="5" xfId="0" applyNumberFormat="1" applyFont="1" applyFill="1" applyBorder="1" applyAlignment="1">
      <alignment horizontal="center"/>
    </xf>
    <xf numFmtId="0" fontId="4" fillId="0" borderId="4" xfId="0" applyFont="1" applyBorder="1" applyAlignment="1">
      <alignment vertical="center" wrapText="1"/>
    </xf>
    <xf numFmtId="4" fontId="4" fillId="0" borderId="5" xfId="0" applyNumberFormat="1" applyFont="1" applyBorder="1" applyAlignment="1">
      <alignment horizontal="right" indent="1"/>
    </xf>
    <xf numFmtId="3" fontId="4" fillId="0" borderId="9" xfId="0" applyNumberFormat="1" applyFont="1" applyBorder="1" applyAlignment="1">
      <alignment horizontal="right" vertical="center" indent="1"/>
    </xf>
    <xf numFmtId="2" fontId="4" fillId="5" borderId="3" xfId="0" applyNumberFormat="1" applyFont="1" applyFill="1" applyBorder="1" applyAlignment="1">
      <alignment horizontal="left" indent="1"/>
    </xf>
    <xf numFmtId="0" fontId="4" fillId="6" borderId="5" xfId="0" applyFont="1" applyFill="1" applyBorder="1"/>
    <xf numFmtId="3" fontId="9" fillId="27" borderId="5" xfId="0" applyNumberFormat="1" applyFont="1" applyFill="1" applyBorder="1" applyAlignment="1">
      <alignment horizontal="right" vertical="center" indent="1"/>
    </xf>
    <xf numFmtId="0" fontId="4" fillId="8" borderId="4" xfId="0" applyFont="1" applyFill="1" applyBorder="1"/>
    <xf numFmtId="0" fontId="0" fillId="8" borderId="5" xfId="0" applyFill="1" applyBorder="1"/>
    <xf numFmtId="9" fontId="2" fillId="8" borderId="5" xfId="0" applyNumberFormat="1" applyFont="1" applyFill="1" applyBorder="1" applyAlignment="1">
      <alignment horizontal="right" vertical="center" indent="1"/>
    </xf>
    <xf numFmtId="0" fontId="2" fillId="8" borderId="3" xfId="0" applyFont="1" applyFill="1" applyBorder="1" applyAlignment="1">
      <alignment vertical="center"/>
    </xf>
    <xf numFmtId="9" fontId="4" fillId="6" borderId="9" xfId="1" applyFont="1" applyFill="1" applyBorder="1" applyAlignment="1">
      <alignment horizontal="right" vertical="center"/>
    </xf>
    <xf numFmtId="2" fontId="2" fillId="0" borderId="5" xfId="0" applyNumberFormat="1" applyFont="1" applyBorder="1" applyAlignment="1">
      <alignment horizontal="right" vertical="center"/>
    </xf>
    <xf numFmtId="2" fontId="4" fillId="0" borderId="5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left"/>
    </xf>
    <xf numFmtId="0" fontId="2" fillId="0" borderId="12" xfId="0" applyFont="1" applyBorder="1"/>
    <xf numFmtId="0" fontId="4" fillId="0" borderId="9" xfId="0" applyFont="1" applyBorder="1"/>
    <xf numFmtId="2" fontId="4" fillId="0" borderId="9" xfId="0" applyNumberFormat="1" applyFont="1" applyBorder="1" applyAlignment="1">
      <alignment horizontal="right" indent="1"/>
    </xf>
    <xf numFmtId="0" fontId="4" fillId="9" borderId="7" xfId="0" applyFont="1" applyFill="1" applyBorder="1"/>
    <xf numFmtId="2" fontId="4" fillId="9" borderId="7" xfId="0" applyNumberFormat="1" applyFont="1" applyFill="1" applyBorder="1" applyAlignment="1">
      <alignment horizontal="right" indent="1"/>
    </xf>
    <xf numFmtId="0" fontId="2" fillId="9" borderId="8" xfId="0" applyFont="1" applyFill="1" applyBorder="1" applyAlignment="1">
      <alignment horizontal="left"/>
    </xf>
    <xf numFmtId="0" fontId="2" fillId="9" borderId="12" xfId="0" applyFont="1" applyFill="1" applyBorder="1"/>
    <xf numFmtId="0" fontId="4" fillId="9" borderId="9" xfId="0" applyFont="1" applyFill="1" applyBorder="1"/>
    <xf numFmtId="2" fontId="4" fillId="9" borderId="9" xfId="0" applyNumberFormat="1" applyFont="1" applyFill="1" applyBorder="1" applyAlignment="1">
      <alignment horizontal="right" indent="1"/>
    </xf>
    <xf numFmtId="0" fontId="2" fillId="9" borderId="13" xfId="0" applyFont="1" applyFill="1" applyBorder="1" applyAlignment="1">
      <alignment horizontal="left"/>
    </xf>
    <xf numFmtId="0" fontId="9" fillId="29" borderId="3" xfId="0" applyFont="1" applyFill="1" applyBorder="1" applyAlignment="1">
      <alignment horizontal="left" vertical="center"/>
    </xf>
    <xf numFmtId="0" fontId="10" fillId="14" borderId="3" xfId="0" applyFont="1" applyFill="1" applyBorder="1"/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9" fillId="10" borderId="2" xfId="0" applyFont="1" applyFill="1" applyBorder="1"/>
    <xf numFmtId="0" fontId="9" fillId="11" borderId="2" xfId="0" applyFont="1" applyFill="1" applyBorder="1"/>
    <xf numFmtId="0" fontId="10" fillId="13" borderId="2" xfId="0" applyFont="1" applyFill="1" applyBorder="1"/>
    <xf numFmtId="0" fontId="4" fillId="3" borderId="2" xfId="0" applyFont="1" applyFill="1" applyBorder="1"/>
    <xf numFmtId="0" fontId="9" fillId="14" borderId="2" xfId="0" applyFont="1" applyFill="1" applyBorder="1"/>
    <xf numFmtId="0" fontId="9" fillId="15" borderId="2" xfId="0" applyFont="1" applyFill="1" applyBorder="1"/>
    <xf numFmtId="0" fontId="10" fillId="0" borderId="2" xfId="0" applyFont="1" applyBorder="1"/>
    <xf numFmtId="0" fontId="5" fillId="0" borderId="13" xfId="0" applyFont="1" applyBorder="1"/>
    <xf numFmtId="9" fontId="4" fillId="0" borderId="0" xfId="0" applyNumberFormat="1" applyFont="1" applyAlignment="1">
      <alignment horizontal="right" indent="1"/>
    </xf>
    <xf numFmtId="0" fontId="4" fillId="0" borderId="10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16" fillId="0" borderId="4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3" fillId="0" borderId="12" xfId="0" applyFont="1" applyBorder="1" applyAlignment="1">
      <alignment horizontal="left"/>
    </xf>
    <xf numFmtId="0" fontId="3" fillId="0" borderId="11" xfId="0" applyFont="1" applyBorder="1" applyAlignment="1">
      <alignment wrapText="1"/>
    </xf>
    <xf numFmtId="0" fontId="3" fillId="0" borderId="11" xfId="0" applyFont="1" applyBorder="1"/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left"/>
    </xf>
    <xf numFmtId="165" fontId="17" fillId="0" borderId="2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indent="1"/>
    </xf>
    <xf numFmtId="0" fontId="5" fillId="0" borderId="3" xfId="0" applyFont="1" applyBorder="1"/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right" indent="1"/>
    </xf>
    <xf numFmtId="0" fontId="5" fillId="0" borderId="8" xfId="0" applyFont="1" applyBorder="1"/>
    <xf numFmtId="2" fontId="9" fillId="0" borderId="2" xfId="0" applyNumberFormat="1" applyFont="1" applyBorder="1" applyAlignment="1">
      <alignment horizontal="right" indent="1"/>
    </xf>
    <xf numFmtId="1" fontId="4" fillId="0" borderId="9" xfId="0" applyNumberFormat="1" applyFont="1" applyBorder="1" applyAlignment="1">
      <alignment horizontal="right" indent="1"/>
    </xf>
    <xf numFmtId="2" fontId="10" fillId="0" borderId="5" xfId="0" applyNumberFormat="1" applyFont="1" applyBorder="1" applyAlignment="1">
      <alignment horizontal="right" vertical="center" indent="1"/>
    </xf>
    <xf numFmtId="9" fontId="2" fillId="0" borderId="5" xfId="0" applyNumberFormat="1" applyFont="1" applyBorder="1" applyAlignment="1">
      <alignment horizontal="right" vertical="center" indent="1"/>
    </xf>
    <xf numFmtId="11" fontId="9" fillId="0" borderId="5" xfId="0" applyNumberFormat="1" applyFont="1" applyBorder="1" applyAlignment="1">
      <alignment horizontal="right" indent="1"/>
    </xf>
    <xf numFmtId="2" fontId="10" fillId="0" borderId="5" xfId="0" applyNumberFormat="1" applyFont="1" applyBorder="1" applyAlignment="1">
      <alignment horizontal="right" indent="1"/>
    </xf>
    <xf numFmtId="9" fontId="2" fillId="0" borderId="5" xfId="0" applyNumberFormat="1" applyFont="1" applyBorder="1" applyAlignment="1">
      <alignment horizontal="right" indent="1"/>
    </xf>
    <xf numFmtId="2" fontId="4" fillId="0" borderId="5" xfId="0" applyNumberFormat="1" applyFont="1" applyBorder="1" applyAlignment="1">
      <alignment horizontal="center"/>
    </xf>
    <xf numFmtId="9" fontId="2" fillId="0" borderId="5" xfId="1" applyFont="1" applyFill="1" applyBorder="1" applyAlignment="1">
      <alignment horizontal="right" indent="1"/>
    </xf>
    <xf numFmtId="2" fontId="9" fillId="0" borderId="5" xfId="0" applyNumberFormat="1" applyFont="1" applyBorder="1" applyAlignment="1">
      <alignment horizontal="right" vertical="center" indent="1"/>
    </xf>
    <xf numFmtId="9" fontId="4" fillId="0" borderId="5" xfId="1" applyFont="1" applyFill="1" applyBorder="1" applyAlignment="1">
      <alignment horizontal="right" indent="1"/>
    </xf>
    <xf numFmtId="1" fontId="2" fillId="0" borderId="5" xfId="1" applyNumberFormat="1" applyFont="1" applyFill="1" applyBorder="1" applyAlignment="1">
      <alignment horizontal="right" indent="1"/>
    </xf>
    <xf numFmtId="4" fontId="9" fillId="0" borderId="9" xfId="0" applyNumberFormat="1" applyFont="1" applyBorder="1" applyAlignment="1">
      <alignment horizontal="right" indent="1"/>
    </xf>
    <xf numFmtId="172" fontId="9" fillId="0" borderId="9" xfId="0" applyNumberFormat="1" applyFont="1" applyBorder="1" applyAlignment="1">
      <alignment horizontal="right" indent="1"/>
    </xf>
    <xf numFmtId="3" fontId="9" fillId="0" borderId="5" xfId="0" applyNumberFormat="1" applyFont="1" applyBorder="1" applyAlignment="1">
      <alignment horizontal="right" indent="1"/>
    </xf>
    <xf numFmtId="9" fontId="9" fillId="0" borderId="5" xfId="0" applyNumberFormat="1" applyFont="1" applyBorder="1" applyAlignment="1">
      <alignment horizontal="right" indent="1"/>
    </xf>
    <xf numFmtId="11" fontId="9" fillId="0" borderId="5" xfId="0" applyNumberFormat="1" applyFont="1" applyBorder="1" applyAlignment="1">
      <alignment horizontal="right" vertical="center" indent="1"/>
    </xf>
    <xf numFmtId="0" fontId="17" fillId="0" borderId="12" xfId="0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right" indent="1"/>
    </xf>
    <xf numFmtId="2" fontId="2" fillId="0" borderId="3" xfId="0" applyNumberFormat="1" applyFont="1" applyBorder="1" applyAlignment="1">
      <alignment horizontal="right" indent="1"/>
    </xf>
    <xf numFmtId="4" fontId="4" fillId="0" borderId="3" xfId="0" applyNumberFormat="1" applyFont="1" applyBorder="1" applyAlignment="1">
      <alignment horizontal="right" indent="1"/>
    </xf>
    <xf numFmtId="2" fontId="9" fillId="0" borderId="3" xfId="0" applyNumberFormat="1" applyFont="1" applyBorder="1" applyAlignment="1">
      <alignment horizontal="right" indent="1"/>
    </xf>
    <xf numFmtId="3" fontId="2" fillId="0" borderId="3" xfId="0" applyNumberFormat="1" applyFont="1" applyBorder="1" applyAlignment="1">
      <alignment horizontal="right" indent="1"/>
    </xf>
    <xf numFmtId="4" fontId="4" fillId="0" borderId="8" xfId="0" applyNumberFormat="1" applyFont="1" applyBorder="1" applyAlignment="1">
      <alignment horizontal="right" indent="1"/>
    </xf>
    <xf numFmtId="10" fontId="9" fillId="0" borderId="13" xfId="0" applyNumberFormat="1" applyFont="1" applyBorder="1" applyAlignment="1">
      <alignment horizontal="right" indent="1"/>
    </xf>
    <xf numFmtId="9" fontId="4" fillId="0" borderId="8" xfId="0" applyNumberFormat="1" applyFont="1" applyBorder="1" applyAlignment="1">
      <alignment horizontal="right" indent="1"/>
    </xf>
    <xf numFmtId="0" fontId="17" fillId="0" borderId="13" xfId="0" applyFont="1" applyBorder="1" applyAlignment="1">
      <alignment horizontal="center" vertical="center" wrapText="1"/>
    </xf>
    <xf numFmtId="0" fontId="10" fillId="0" borderId="7" xfId="0" applyFont="1" applyBorder="1"/>
    <xf numFmtId="0" fontId="0" fillId="0" borderId="7" xfId="0" applyBorder="1"/>
    <xf numFmtId="165" fontId="17" fillId="0" borderId="10" xfId="0" applyNumberFormat="1" applyFont="1" applyBorder="1" applyAlignment="1">
      <alignment horizontal="center" vertical="center" wrapText="1"/>
    </xf>
    <xf numFmtId="0" fontId="0" fillId="0" borderId="11" xfId="0" applyBorder="1"/>
    <xf numFmtId="2" fontId="4" fillId="8" borderId="0" xfId="0" applyNumberFormat="1" applyFont="1" applyFill="1" applyAlignment="1">
      <alignment horizontal="right" indent="1"/>
    </xf>
    <xf numFmtId="0" fontId="8" fillId="0" borderId="2" xfId="0" applyFont="1" applyBorder="1" applyAlignment="1">
      <alignment horizontal="center" vertical="center"/>
    </xf>
    <xf numFmtId="0" fontId="0" fillId="0" borderId="4" xfId="0" applyBorder="1"/>
    <xf numFmtId="166" fontId="27" fillId="0" borderId="4" xfId="0" applyNumberFormat="1" applyFont="1" applyBorder="1" applyAlignment="1">
      <alignment horizontal="center"/>
    </xf>
    <xf numFmtId="2" fontId="16" fillId="0" borderId="2" xfId="0" applyNumberFormat="1" applyFont="1" applyBorder="1" applyAlignment="1">
      <alignment horizontal="right"/>
    </xf>
    <xf numFmtId="166" fontId="30" fillId="3" borderId="4" xfId="0" applyNumberFormat="1" applyFont="1" applyFill="1" applyBorder="1" applyAlignment="1">
      <alignment horizontal="center"/>
    </xf>
    <xf numFmtId="166" fontId="16" fillId="3" borderId="5" xfId="0" applyNumberFormat="1" applyFont="1" applyFill="1" applyBorder="1" applyAlignment="1">
      <alignment horizontal="left"/>
    </xf>
    <xf numFmtId="2" fontId="30" fillId="3" borderId="5" xfId="0" applyNumberFormat="1" applyFont="1" applyFill="1" applyBorder="1" applyAlignment="1">
      <alignment horizontal="right" indent="1"/>
    </xf>
    <xf numFmtId="166" fontId="30" fillId="3" borderId="5" xfId="0" applyNumberFormat="1" applyFont="1" applyFill="1" applyBorder="1"/>
    <xf numFmtId="0" fontId="16" fillId="0" borderId="5" xfId="0" applyFont="1" applyBorder="1"/>
    <xf numFmtId="172" fontId="9" fillId="0" borderId="5" xfId="0" applyNumberFormat="1" applyFont="1" applyBorder="1"/>
    <xf numFmtId="0" fontId="9" fillId="0" borderId="5" xfId="0" applyFont="1" applyBorder="1" applyAlignment="1">
      <alignment horizontal="left"/>
    </xf>
    <xf numFmtId="2" fontId="4" fillId="0" borderId="5" xfId="0" applyNumberFormat="1" applyFont="1" applyBorder="1"/>
    <xf numFmtId="2" fontId="0" fillId="0" borderId="4" xfId="0" applyNumberFormat="1" applyBorder="1" applyAlignment="1">
      <alignment horizontal="center" wrapText="1"/>
    </xf>
    <xf numFmtId="43" fontId="10" fillId="0" borderId="5" xfId="5" applyFont="1" applyBorder="1" applyAlignment="1">
      <alignment horizontal="center"/>
    </xf>
    <xf numFmtId="43" fontId="10" fillId="0" borderId="5" xfId="5" applyFont="1" applyBorder="1" applyAlignment="1">
      <alignment horizontal="center" vertical="center"/>
    </xf>
    <xf numFmtId="0" fontId="9" fillId="6" borderId="5" xfId="0" applyFont="1" applyFill="1" applyBorder="1"/>
    <xf numFmtId="0" fontId="9" fillId="6" borderId="5" xfId="0" applyFont="1" applyFill="1" applyBorder="1" applyAlignment="1">
      <alignment horizontal="left"/>
    </xf>
    <xf numFmtId="0" fontId="10" fillId="0" borderId="5" xfId="0" applyFont="1" applyBorder="1" applyAlignment="1">
      <alignment horizontal="left"/>
    </xf>
    <xf numFmtId="3" fontId="9" fillId="0" borderId="4" xfId="0" applyNumberFormat="1" applyFont="1" applyBorder="1" applyAlignment="1">
      <alignment horizontal="right" indent="1"/>
    </xf>
    <xf numFmtId="2" fontId="9" fillId="0" borderId="4" xfId="0" applyNumberFormat="1" applyFont="1" applyBorder="1" applyAlignment="1">
      <alignment horizontal="right" indent="1"/>
    </xf>
    <xf numFmtId="2" fontId="9" fillId="0" borderId="12" xfId="0" applyNumberFormat="1" applyFont="1" applyBorder="1" applyAlignment="1">
      <alignment horizontal="right" vertical="center" indent="1"/>
    </xf>
    <xf numFmtId="2" fontId="4" fillId="0" borderId="4" xfId="0" applyNumberFormat="1" applyFont="1" applyBorder="1" applyAlignment="1">
      <alignment horizontal="right" indent="1"/>
    </xf>
    <xf numFmtId="2" fontId="16" fillId="0" borderId="4" xfId="0" applyNumberFormat="1" applyFont="1" applyBorder="1" applyAlignment="1">
      <alignment horizontal="right" indent="1"/>
    </xf>
    <xf numFmtId="4" fontId="9" fillId="0" borderId="4" xfId="0" applyNumberFormat="1" applyFont="1" applyBorder="1" applyAlignment="1">
      <alignment horizontal="right" indent="1"/>
    </xf>
    <xf numFmtId="1" fontId="9" fillId="0" borderId="4" xfId="0" applyNumberFormat="1" applyFont="1" applyBorder="1" applyAlignment="1">
      <alignment horizontal="right" indent="1"/>
    </xf>
    <xf numFmtId="172" fontId="9" fillId="0" borderId="5" xfId="0" applyNumberFormat="1" applyFont="1" applyBorder="1" applyAlignment="1">
      <alignment horizontal="right" indent="1"/>
    </xf>
    <xf numFmtId="3" fontId="9" fillId="0" borderId="2" xfId="0" applyNumberFormat="1" applyFont="1" applyBorder="1" applyAlignment="1">
      <alignment horizontal="right" indent="1"/>
    </xf>
    <xf numFmtId="2" fontId="9" fillId="0" borderId="14" xfId="0" applyNumberFormat="1" applyFont="1" applyBorder="1" applyAlignment="1">
      <alignment horizontal="right" vertical="center" indent="1"/>
    </xf>
    <xf numFmtId="2" fontId="4" fillId="0" borderId="2" xfId="0" applyNumberFormat="1" applyFont="1" applyBorder="1" applyAlignment="1">
      <alignment horizontal="right" indent="1"/>
    </xf>
    <xf numFmtId="0" fontId="5" fillId="0" borderId="6" xfId="0" applyFont="1" applyBorder="1"/>
    <xf numFmtId="0" fontId="2" fillId="0" borderId="12" xfId="0" applyFont="1" applyBorder="1" applyAlignment="1">
      <alignment horizontal="right" indent="1"/>
    </xf>
    <xf numFmtId="0" fontId="0" fillId="6" borderId="5" xfId="0" applyFill="1" applyBorder="1"/>
    <xf numFmtId="0" fontId="2" fillId="0" borderId="2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9" fillId="6" borderId="4" xfId="0" applyFont="1" applyFill="1" applyBorder="1" applyAlignment="1">
      <alignment vertical="center" wrapText="1"/>
    </xf>
    <xf numFmtId="0" fontId="0" fillId="6" borderId="0" xfId="0" applyFill="1"/>
    <xf numFmtId="4" fontId="4" fillId="0" borderId="2" xfId="0" applyNumberFormat="1" applyFont="1" applyBorder="1" applyAlignment="1">
      <alignment horizontal="right" indent="1"/>
    </xf>
    <xf numFmtId="0" fontId="16" fillId="0" borderId="1" xfId="0" applyFont="1" applyBorder="1"/>
    <xf numFmtId="0" fontId="16" fillId="0" borderId="15" xfId="0" applyFont="1" applyBorder="1"/>
    <xf numFmtId="2" fontId="2" fillId="6" borderId="7" xfId="0" applyNumberFormat="1" applyFont="1" applyFill="1" applyBorder="1" applyAlignment="1">
      <alignment horizontal="right" indent="1"/>
    </xf>
    <xf numFmtId="2" fontId="4" fillId="0" borderId="5" xfId="0" applyNumberFormat="1" applyFont="1" applyBorder="1" applyAlignment="1">
      <alignment horizontal="right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0" fontId="10" fillId="0" borderId="5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9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center"/>
    </xf>
    <xf numFmtId="0" fontId="13" fillId="0" borderId="3" xfId="0" applyFont="1" applyBorder="1" applyAlignment="1">
      <alignment horizontal="right" vertical="center"/>
    </xf>
    <xf numFmtId="0" fontId="16" fillId="0" borderId="3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6" fillId="0" borderId="3" xfId="0" applyFont="1" applyBorder="1" applyAlignment="1">
      <alignment horizontal="right" vertical="center" wrapText="1" shrinkToFit="1"/>
    </xf>
    <xf numFmtId="0" fontId="18" fillId="0" borderId="3" xfId="4" applyBorder="1" applyAlignment="1">
      <alignment horizontal="right" vertical="center"/>
    </xf>
    <xf numFmtId="0" fontId="6" fillId="0" borderId="3" xfId="0" applyFont="1" applyBorder="1"/>
    <xf numFmtId="0" fontId="9" fillId="0" borderId="3" xfId="0" applyFont="1" applyBorder="1" applyAlignment="1">
      <alignment horizontal="right"/>
    </xf>
    <xf numFmtId="0" fontId="9" fillId="0" borderId="5" xfId="0" applyFont="1" applyBorder="1" applyAlignment="1">
      <alignment horizontal="right"/>
    </xf>
    <xf numFmtId="0" fontId="2" fillId="0" borderId="2" xfId="0" applyFont="1" applyBorder="1"/>
    <xf numFmtId="0" fontId="17" fillId="0" borderId="6" xfId="0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right" indent="1"/>
    </xf>
    <xf numFmtId="0" fontId="6" fillId="0" borderId="2" xfId="0" applyFont="1" applyBorder="1"/>
    <xf numFmtId="0" fontId="10" fillId="19" borderId="4" xfId="0" applyFont="1" applyFill="1" applyBorder="1" applyAlignment="1">
      <alignment vertical="center"/>
    </xf>
    <xf numFmtId="0" fontId="10" fillId="19" borderId="5" xfId="0" applyFont="1" applyFill="1" applyBorder="1" applyAlignment="1">
      <alignment horizontal="center" vertical="center"/>
    </xf>
    <xf numFmtId="2" fontId="9" fillId="19" borderId="9" xfId="0" applyNumberFormat="1" applyFont="1" applyFill="1" applyBorder="1" applyAlignment="1">
      <alignment horizontal="right" vertical="center" indent="1"/>
    </xf>
    <xf numFmtId="10" fontId="4" fillId="6" borderId="5" xfId="0" applyNumberFormat="1" applyFont="1" applyFill="1" applyBorder="1" applyAlignment="1">
      <alignment horizontal="center"/>
    </xf>
    <xf numFmtId="0" fontId="4" fillId="28" borderId="4" xfId="0" applyFont="1" applyFill="1" applyBorder="1"/>
    <xf numFmtId="0" fontId="4" fillId="28" borderId="5" xfId="0" applyFont="1" applyFill="1" applyBorder="1" applyAlignment="1">
      <alignment horizontal="center"/>
    </xf>
    <xf numFmtId="1" fontId="4" fillId="28" borderId="5" xfId="0" applyNumberFormat="1" applyFont="1" applyFill="1" applyBorder="1" applyAlignment="1">
      <alignment horizontal="right" indent="1"/>
    </xf>
    <xf numFmtId="0" fontId="4" fillId="28" borderId="3" xfId="0" applyFont="1" applyFill="1" applyBorder="1"/>
    <xf numFmtId="0" fontId="4" fillId="6" borderId="6" xfId="0" applyFont="1" applyFill="1" applyBorder="1"/>
    <xf numFmtId="3" fontId="4" fillId="6" borderId="7" xfId="0" applyNumberFormat="1" applyFont="1" applyFill="1" applyBorder="1" applyAlignment="1">
      <alignment horizontal="right" indent="1"/>
    </xf>
    <xf numFmtId="0" fontId="4" fillId="6" borderId="8" xfId="0" applyFont="1" applyFill="1" applyBorder="1"/>
    <xf numFmtId="0" fontId="4" fillId="19" borderId="4" xfId="0" applyFont="1" applyFill="1" applyBorder="1" applyAlignment="1">
      <alignment horizontal="left" vertical="center"/>
    </xf>
    <xf numFmtId="0" fontId="4" fillId="19" borderId="5" xfId="0" applyFont="1" applyFill="1" applyBorder="1" applyAlignment="1">
      <alignment vertical="center"/>
    </xf>
    <xf numFmtId="1" fontId="4" fillId="6" borderId="5" xfId="0" applyNumberFormat="1" applyFont="1" applyFill="1" applyBorder="1" applyAlignment="1">
      <alignment horizontal="right" indent="1"/>
    </xf>
    <xf numFmtId="1" fontId="4" fillId="19" borderId="5" xfId="0" applyNumberFormat="1" applyFont="1" applyFill="1" applyBorder="1" applyAlignment="1">
      <alignment horizontal="right" indent="1"/>
    </xf>
    <xf numFmtId="1" fontId="4" fillId="0" borderId="2" xfId="0" applyNumberFormat="1" applyFont="1" applyBorder="1" applyAlignment="1">
      <alignment horizontal="right" indent="1"/>
    </xf>
    <xf numFmtId="0" fontId="2" fillId="7" borderId="13" xfId="0" applyFont="1" applyFill="1" applyBorder="1" applyAlignment="1">
      <alignment horizontal="left"/>
    </xf>
    <xf numFmtId="3" fontId="2" fillId="0" borderId="5" xfId="0" applyNumberFormat="1" applyFont="1" applyBorder="1" applyAlignment="1">
      <alignment horizontal="right" indent="1"/>
    </xf>
    <xf numFmtId="0" fontId="4" fillId="0" borderId="9" xfId="0" applyFont="1" applyBorder="1" applyAlignment="1">
      <alignment horizontal="center"/>
    </xf>
    <xf numFmtId="2" fontId="2" fillId="0" borderId="9" xfId="0" applyNumberFormat="1" applyFont="1" applyBorder="1" applyAlignment="1">
      <alignment horizontal="right" indent="1"/>
    </xf>
    <xf numFmtId="0" fontId="2" fillId="0" borderId="13" xfId="0" applyFont="1" applyBorder="1"/>
    <xf numFmtId="0" fontId="2" fillId="19" borderId="12" xfId="0" applyFont="1" applyFill="1" applyBorder="1" applyAlignment="1">
      <alignment vertical="center" wrapText="1"/>
    </xf>
    <xf numFmtId="10" fontId="2" fillId="0" borderId="5" xfId="1" applyNumberFormat="1" applyFont="1" applyFill="1" applyBorder="1" applyAlignment="1">
      <alignment horizontal="center"/>
    </xf>
    <xf numFmtId="0" fontId="4" fillId="19" borderId="12" xfId="0" applyFont="1" applyFill="1" applyBorder="1"/>
    <xf numFmtId="4" fontId="9" fillId="0" borderId="0" xfId="0" applyNumberFormat="1" applyFont="1" applyAlignment="1">
      <alignment horizontal="right" indent="1"/>
    </xf>
    <xf numFmtId="166" fontId="2" fillId="0" borderId="5" xfId="0" applyNumberFormat="1" applyFont="1" applyBorder="1" applyAlignment="1">
      <alignment horizontal="right" indent="1"/>
    </xf>
    <xf numFmtId="168" fontId="2" fillId="0" borderId="2" xfId="0" applyNumberFormat="1" applyFont="1" applyBorder="1" applyAlignment="1">
      <alignment horizontal="right" vertical="center" indent="1"/>
    </xf>
    <xf numFmtId="0" fontId="2" fillId="19" borderId="8" xfId="0" applyFont="1" applyFill="1" applyBorder="1" applyAlignment="1">
      <alignment horizontal="left"/>
    </xf>
    <xf numFmtId="0" fontId="2" fillId="9" borderId="5" xfId="0" applyFont="1" applyFill="1" applyBorder="1" applyAlignment="1">
      <alignment horizontal="center"/>
    </xf>
    <xf numFmtId="9" fontId="2" fillId="6" borderId="5" xfId="0" applyNumberFormat="1" applyFont="1" applyFill="1" applyBorder="1" applyAlignment="1">
      <alignment horizontal="right" indent="1"/>
    </xf>
    <xf numFmtId="0" fontId="4" fillId="3" borderId="4" xfId="0" applyFont="1" applyFill="1" applyBorder="1"/>
    <xf numFmtId="10" fontId="4" fillId="3" borderId="5" xfId="0" applyNumberFormat="1" applyFont="1" applyFill="1" applyBorder="1" applyAlignment="1">
      <alignment horizontal="center"/>
    </xf>
    <xf numFmtId="3" fontId="4" fillId="3" borderId="5" xfId="0" applyNumberFormat="1" applyFont="1" applyFill="1" applyBorder="1" applyAlignment="1">
      <alignment horizontal="right" indent="1"/>
    </xf>
    <xf numFmtId="0" fontId="4" fillId="3" borderId="3" xfId="0" applyFont="1" applyFill="1" applyBorder="1"/>
    <xf numFmtId="3" fontId="4" fillId="0" borderId="5" xfId="0" applyNumberFormat="1" applyFont="1" applyBorder="1" applyAlignment="1">
      <alignment horizontal="right" indent="1"/>
    </xf>
    <xf numFmtId="0" fontId="2" fillId="6" borderId="3" xfId="0" applyFont="1" applyFill="1" applyBorder="1" applyAlignment="1">
      <alignment horizontal="left"/>
    </xf>
    <xf numFmtId="1" fontId="9" fillId="0" borderId="9" xfId="0" applyNumberFormat="1" applyFont="1" applyBorder="1" applyAlignment="1">
      <alignment horizontal="right" vertical="center" indent="1"/>
    </xf>
    <xf numFmtId="165" fontId="9" fillId="0" borderId="9" xfId="0" applyNumberFormat="1" applyFont="1" applyBorder="1" applyAlignment="1">
      <alignment horizontal="right" vertical="center" indent="1"/>
    </xf>
    <xf numFmtId="2" fontId="9" fillId="0" borderId="9" xfId="0" applyNumberFormat="1" applyFont="1" applyBorder="1" applyAlignment="1">
      <alignment horizontal="right" indent="1"/>
    </xf>
    <xf numFmtId="0" fontId="13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right"/>
    </xf>
    <xf numFmtId="167" fontId="4" fillId="6" borderId="5" xfId="0" applyNumberFormat="1" applyFont="1" applyFill="1" applyBorder="1"/>
    <xf numFmtId="1" fontId="2" fillId="0" borderId="7" xfId="0" applyNumberFormat="1" applyFont="1" applyBorder="1" applyAlignment="1">
      <alignment horizontal="right" indent="1"/>
    </xf>
    <xf numFmtId="2" fontId="2" fillId="0" borderId="2" xfId="0" applyNumberFormat="1" applyFont="1" applyBorder="1" applyAlignment="1">
      <alignment horizontal="right" indent="1"/>
    </xf>
    <xf numFmtId="165" fontId="9" fillId="0" borderId="5" xfId="0" applyNumberFormat="1" applyFont="1" applyBorder="1" applyAlignment="1">
      <alignment horizontal="right" vertical="center" indent="1"/>
    </xf>
    <xf numFmtId="1" fontId="9" fillId="0" borderId="14" xfId="0" applyNumberFormat="1" applyFont="1" applyBorder="1" applyAlignment="1">
      <alignment horizontal="right" vertical="center" indent="1"/>
    </xf>
    <xf numFmtId="0" fontId="10" fillId="0" borderId="5" xfId="0" applyFont="1" applyBorder="1" applyAlignment="1">
      <alignment vertical="center"/>
    </xf>
    <xf numFmtId="0" fontId="9" fillId="19" borderId="4" xfId="0" applyFont="1" applyFill="1" applyBorder="1"/>
    <xf numFmtId="2" fontId="9" fillId="19" borderId="5" xfId="0" applyNumberFormat="1" applyFont="1" applyFill="1" applyBorder="1" applyAlignment="1">
      <alignment horizontal="right" indent="1"/>
    </xf>
    <xf numFmtId="0" fontId="9" fillId="19" borderId="3" xfId="0" applyFont="1" applyFill="1" applyBorder="1"/>
    <xf numFmtId="43" fontId="10" fillId="0" borderId="0" xfId="5" applyFont="1" applyBorder="1" applyAlignment="1">
      <alignment horizontal="center" vertical="center"/>
    </xf>
    <xf numFmtId="43" fontId="10" fillId="19" borderId="5" xfId="5" applyFont="1" applyFill="1" applyBorder="1" applyAlignment="1">
      <alignment horizontal="center" vertical="center"/>
    </xf>
    <xf numFmtId="2" fontId="9" fillId="19" borderId="5" xfId="0" applyNumberFormat="1" applyFont="1" applyFill="1" applyBorder="1" applyAlignment="1">
      <alignment horizontal="right" vertical="center" indent="1"/>
    </xf>
    <xf numFmtId="1" fontId="2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8" fillId="19" borderId="4" xfId="0" applyFont="1" applyFill="1" applyBorder="1" applyAlignment="1">
      <alignment horizontal="left" vertical="center"/>
    </xf>
    <xf numFmtId="0" fontId="9" fillId="19" borderId="0" xfId="0" applyFont="1" applyFill="1"/>
    <xf numFmtId="2" fontId="4" fillId="19" borderId="5" xfId="0" applyNumberFormat="1" applyFont="1" applyFill="1" applyBorder="1"/>
    <xf numFmtId="2" fontId="27" fillId="19" borderId="4" xfId="0" applyNumberFormat="1" applyFont="1" applyFill="1" applyBorder="1" applyAlignment="1">
      <alignment horizontal="left"/>
    </xf>
    <xf numFmtId="2" fontId="3" fillId="19" borderId="5" xfId="0" applyNumberFormat="1" applyFont="1" applyFill="1" applyBorder="1" applyAlignment="1">
      <alignment horizontal="left"/>
    </xf>
    <xf numFmtId="0" fontId="5" fillId="19" borderId="0" xfId="0" applyFont="1" applyFill="1" applyAlignment="1">
      <alignment horizontal="right"/>
    </xf>
    <xf numFmtId="2" fontId="16" fillId="19" borderId="5" xfId="0" applyNumberFormat="1" applyFont="1" applyFill="1" applyBorder="1" applyAlignment="1">
      <alignment horizontal="right" indent="1"/>
    </xf>
    <xf numFmtId="0" fontId="16" fillId="19" borderId="5" xfId="0" applyFont="1" applyFill="1" applyBorder="1"/>
    <xf numFmtId="166" fontId="30" fillId="3" borderId="4" xfId="0" applyNumberFormat="1" applyFont="1" applyFill="1" applyBorder="1" applyAlignment="1">
      <alignment horizontal="left"/>
    </xf>
    <xf numFmtId="10" fontId="4" fillId="0" borderId="4" xfId="0" applyNumberFormat="1" applyFont="1" applyBorder="1" applyAlignment="1">
      <alignment horizontal="left"/>
    </xf>
    <xf numFmtId="0" fontId="9" fillId="19" borderId="5" xfId="0" applyFont="1" applyFill="1" applyBorder="1"/>
    <xf numFmtId="0" fontId="6" fillId="0" borderId="5" xfId="0" applyFont="1" applyBorder="1" applyAlignment="1">
      <alignment horizontal="right"/>
    </xf>
    <xf numFmtId="0" fontId="31" fillId="0" borderId="5" xfId="0" applyFont="1" applyBorder="1"/>
    <xf numFmtId="0" fontId="4" fillId="0" borderId="6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166" fontId="16" fillId="3" borderId="4" xfId="0" applyNumberFormat="1" applyFont="1" applyFill="1" applyBorder="1" applyAlignment="1">
      <alignment horizontal="left"/>
    </xf>
    <xf numFmtId="2" fontId="16" fillId="3" borderId="5" xfId="0" applyNumberFormat="1" applyFont="1" applyFill="1" applyBorder="1" applyAlignment="1">
      <alignment horizontal="right" indent="1"/>
    </xf>
    <xf numFmtId="166" fontId="16" fillId="3" borderId="5" xfId="0" applyNumberFormat="1" applyFont="1" applyFill="1" applyBorder="1"/>
    <xf numFmtId="2" fontId="16" fillId="0" borderId="2" xfId="0" applyNumberFormat="1" applyFont="1" applyBorder="1" applyAlignment="1">
      <alignment horizontal="right" indent="1"/>
    </xf>
    <xf numFmtId="172" fontId="9" fillId="0" borderId="2" xfId="0" applyNumberFormat="1" applyFont="1" applyBorder="1" applyAlignment="1">
      <alignment horizontal="right" indent="1"/>
    </xf>
    <xf numFmtId="2" fontId="0" fillId="0" borderId="2" xfId="0" applyNumberFormat="1" applyBorder="1" applyAlignment="1">
      <alignment horizontal="center" wrapText="1"/>
    </xf>
    <xf numFmtId="0" fontId="2" fillId="0" borderId="7" xfId="0" applyFont="1" applyBorder="1"/>
    <xf numFmtId="0" fontId="10" fillId="12" borderId="5" xfId="0" applyFont="1" applyFill="1" applyBorder="1"/>
    <xf numFmtId="0" fontId="10" fillId="19" borderId="5" xfId="0" applyFont="1" applyFill="1" applyBorder="1"/>
    <xf numFmtId="2" fontId="2" fillId="0" borderId="1" xfId="0" applyNumberFormat="1" applyFont="1" applyBorder="1" applyAlignment="1">
      <alignment horizontal="right" indent="1"/>
    </xf>
    <xf numFmtId="11" fontId="9" fillId="0" borderId="2" xfId="0" applyNumberFormat="1" applyFont="1" applyBorder="1" applyAlignment="1">
      <alignment horizontal="right" indent="1"/>
    </xf>
    <xf numFmtId="11" fontId="2" fillId="0" borderId="1" xfId="0" applyNumberFormat="1" applyFont="1" applyBorder="1" applyAlignment="1">
      <alignment horizontal="right" indent="1"/>
    </xf>
    <xf numFmtId="2" fontId="10" fillId="0" borderId="2" xfId="0" applyNumberFormat="1" applyFont="1" applyBorder="1" applyAlignment="1">
      <alignment horizontal="right" indent="1"/>
    </xf>
    <xf numFmtId="2" fontId="9" fillId="0" borderId="2" xfId="0" applyNumberFormat="1" applyFont="1" applyBorder="1" applyAlignment="1">
      <alignment horizontal="right" vertical="center" indent="1"/>
    </xf>
    <xf numFmtId="0" fontId="9" fillId="30" borderId="4" xfId="0" applyFont="1" applyFill="1" applyBorder="1"/>
    <xf numFmtId="0" fontId="9" fillId="30" borderId="5" xfId="0" applyFont="1" applyFill="1" applyBorder="1"/>
    <xf numFmtId="2" fontId="9" fillId="30" borderId="5" xfId="0" applyNumberFormat="1" applyFont="1" applyFill="1" applyBorder="1" applyAlignment="1">
      <alignment horizontal="right" indent="1"/>
    </xf>
    <xf numFmtId="0" fontId="9" fillId="30" borderId="3" xfId="0" applyFont="1" applyFill="1" applyBorder="1"/>
    <xf numFmtId="3" fontId="4" fillId="0" borderId="7" xfId="0" applyNumberFormat="1" applyFont="1" applyBorder="1" applyAlignment="1">
      <alignment horizontal="right" indent="1"/>
    </xf>
    <xf numFmtId="0" fontId="8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4" xfId="0" applyFont="1" applyBorder="1" applyAlignment="1">
      <alignment horizontal="center" vertical="center"/>
    </xf>
    <xf numFmtId="4" fontId="9" fillId="0" borderId="5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2" fontId="27" fillId="0" borderId="4" xfId="0" applyNumberFormat="1" applyFont="1" applyBorder="1" applyAlignment="1">
      <alignment horizontal="center" vertical="center"/>
    </xf>
    <xf numFmtId="1" fontId="9" fillId="0" borderId="7" xfId="0" applyNumberFormat="1" applyFont="1" applyBorder="1" applyAlignment="1">
      <alignment horizontal="right" indent="1"/>
    </xf>
    <xf numFmtId="0" fontId="4" fillId="0" borderId="12" xfId="0" applyFont="1" applyBorder="1"/>
    <xf numFmtId="4" fontId="2" fillId="19" borderId="5" xfId="0" applyNumberFormat="1" applyFont="1" applyFill="1" applyBorder="1" applyAlignment="1">
      <alignment horizontal="right" indent="1"/>
    </xf>
    <xf numFmtId="3" fontId="4" fillId="19" borderId="5" xfId="0" applyNumberFormat="1" applyFont="1" applyFill="1" applyBorder="1" applyAlignment="1">
      <alignment horizontal="right" indent="1"/>
    </xf>
    <xf numFmtId="43" fontId="2" fillId="0" borderId="9" xfId="5" applyFont="1" applyBorder="1" applyAlignment="1">
      <alignment horizontal="right" indent="1"/>
    </xf>
    <xf numFmtId="0" fontId="4" fillId="19" borderId="11" xfId="0" applyFont="1" applyFill="1" applyBorder="1"/>
    <xf numFmtId="1" fontId="4" fillId="9" borderId="5" xfId="0" applyNumberFormat="1" applyFont="1" applyFill="1" applyBorder="1" applyAlignment="1">
      <alignment horizontal="right" indent="1"/>
    </xf>
    <xf numFmtId="173" fontId="4" fillId="9" borderId="5" xfId="0" applyNumberFormat="1" applyFont="1" applyFill="1" applyBorder="1" applyAlignment="1">
      <alignment horizontal="right" indent="1"/>
    </xf>
    <xf numFmtId="0" fontId="4" fillId="20" borderId="0" xfId="0" applyFont="1" applyFill="1" applyAlignment="1">
      <alignment vertical="center"/>
    </xf>
    <xf numFmtId="4" fontId="4" fillId="15" borderId="0" xfId="0" applyNumberFormat="1" applyFont="1" applyFill="1" applyAlignment="1">
      <alignment horizontal="right" indent="1"/>
    </xf>
    <xf numFmtId="0" fontId="4" fillId="15" borderId="5" xfId="0" applyFont="1" applyFill="1" applyBorder="1"/>
    <xf numFmtId="1" fontId="4" fillId="15" borderId="5" xfId="0" applyNumberFormat="1" applyFont="1" applyFill="1" applyBorder="1" applyAlignment="1">
      <alignment horizontal="right" indent="1"/>
    </xf>
    <xf numFmtId="3" fontId="4" fillId="19" borderId="7" xfId="0" applyNumberFormat="1" applyFont="1" applyFill="1" applyBorder="1" applyAlignment="1">
      <alignment horizontal="right" indent="1"/>
    </xf>
    <xf numFmtId="4" fontId="4" fillId="9" borderId="7" xfId="0" applyNumberFormat="1" applyFont="1" applyFill="1" applyBorder="1" applyAlignment="1">
      <alignment horizontal="right" indent="1"/>
    </xf>
    <xf numFmtId="1" fontId="4" fillId="19" borderId="9" xfId="0" applyNumberFormat="1" applyFont="1" applyFill="1" applyBorder="1" applyAlignment="1">
      <alignment horizontal="right" indent="1"/>
    </xf>
    <xf numFmtId="43" fontId="16" fillId="0" borderId="5" xfId="5" applyFont="1" applyBorder="1" applyAlignment="1">
      <alignment horizontal="right" vertical="center"/>
    </xf>
    <xf numFmtId="43" fontId="16" fillId="0" borderId="5" xfId="5" applyFont="1" applyBorder="1" applyAlignment="1">
      <alignment vertical="center"/>
    </xf>
    <xf numFmtId="43" fontId="16" fillId="0" borderId="4" xfId="5" applyFont="1" applyBorder="1" applyAlignment="1">
      <alignment horizontal="right" vertical="center" indent="1"/>
    </xf>
    <xf numFmtId="4" fontId="9" fillId="0" borderId="4" xfId="0" applyNumberFormat="1" applyFont="1" applyBorder="1" applyAlignment="1">
      <alignment horizontal="right" vertical="center" indent="1"/>
    </xf>
    <xf numFmtId="4" fontId="16" fillId="0" borderId="5" xfId="0" applyNumberFormat="1" applyFont="1" applyBorder="1" applyAlignment="1">
      <alignment horizontal="center" vertical="center"/>
    </xf>
    <xf numFmtId="172" fontId="4" fillId="19" borderId="7" xfId="0" applyNumberFormat="1" applyFont="1" applyFill="1" applyBorder="1" applyAlignment="1">
      <alignment horizontal="right" indent="1"/>
    </xf>
    <xf numFmtId="0" fontId="9" fillId="0" borderId="0" xfId="0" quotePrefix="1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/>
    <xf numFmtId="0" fontId="9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5" fillId="0" borderId="0" xfId="0" applyFont="1" applyAlignment="1">
      <alignment wrapText="1"/>
    </xf>
    <xf numFmtId="0" fontId="0" fillId="0" borderId="0" xfId="0"/>
    <xf numFmtId="0" fontId="12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3" xfId="0" applyBorder="1" applyAlignment="1">
      <alignment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6">
    <cellStyle name="Hipervínculo" xfId="4" builtinId="8"/>
    <cellStyle name="Millares" xfId="5" builtinId="3"/>
    <cellStyle name="Normal" xfId="0" builtinId="0"/>
    <cellStyle name="Normal 10" xfId="2" xr:uid="{67D93D48-BFFD-4FDD-93DC-E3C0FCE46B6E}"/>
    <cellStyle name="Porcentaje" xfId="1" builtinId="5"/>
    <cellStyle name="Porcentaje 2" xfId="3" xr:uid="{75324D31-39D7-4AFF-A5A0-522F1DE7BF85}"/>
  </cellStyles>
  <dxfs count="0"/>
  <tableStyles count="0" defaultTableStyle="TableStyleMedium9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7</xdr:col>
      <xdr:colOff>304800</xdr:colOff>
      <xdr:row>4</xdr:row>
      <xdr:rowOff>114300</xdr:rowOff>
    </xdr:to>
    <xdr:sp macro="" textlink="">
      <xdr:nvSpPr>
        <xdr:cNvPr id="2" name="AutoShape 5" descr="{\displaystyle Q=0.2787\ C\ D_{i}^{2.63}\ S^{0.54}}">
          <a:extLst>
            <a:ext uri="{FF2B5EF4-FFF2-40B4-BE49-F238E27FC236}">
              <a16:creationId xmlns:a16="http://schemas.microsoft.com/office/drawing/2014/main" id="{566D4B78-1123-4E95-8BD5-FE2E4CCFB474}"/>
            </a:ext>
          </a:extLst>
        </xdr:cNvPr>
        <xdr:cNvSpPr>
          <a:spLocks noChangeAspect="1" noChangeArrowheads="1"/>
        </xdr:cNvSpPr>
      </xdr:nvSpPr>
      <xdr:spPr bwMode="auto">
        <a:xfrm>
          <a:off x="5648325" y="6343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13</xdr:col>
      <xdr:colOff>0</xdr:colOff>
      <xdr:row>1</xdr:row>
      <xdr:rowOff>0</xdr:rowOff>
    </xdr:from>
    <xdr:ext cx="304800" cy="304800"/>
    <xdr:sp macro="" textlink="">
      <xdr:nvSpPr>
        <xdr:cNvPr id="4" name="AutoShape 5" descr="{\displaystyle Q=0.2787\ C\ D_{i}^{2.63}\ S^{0.54}}">
          <a:extLst>
            <a:ext uri="{FF2B5EF4-FFF2-40B4-BE49-F238E27FC236}">
              <a16:creationId xmlns:a16="http://schemas.microsoft.com/office/drawing/2014/main" id="{DC8CAA39-4F85-44E9-901F-C687B8F4AE08}"/>
            </a:ext>
          </a:extLst>
        </xdr:cNvPr>
        <xdr:cNvSpPr>
          <a:spLocks noChangeAspect="1" noChangeArrowheads="1"/>
        </xdr:cNvSpPr>
      </xdr:nvSpPr>
      <xdr:spPr bwMode="auto">
        <a:xfrm>
          <a:off x="11268075" y="13439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</xdr:row>
      <xdr:rowOff>0</xdr:rowOff>
    </xdr:from>
    <xdr:ext cx="304800" cy="304800"/>
    <xdr:sp macro="" textlink="">
      <xdr:nvSpPr>
        <xdr:cNvPr id="8" name="AutoShape 5" descr="{\displaystyle Q=0.2787\ C\ D_{i}^{2.63}\ S^{0.54}}">
          <a:extLst>
            <a:ext uri="{FF2B5EF4-FFF2-40B4-BE49-F238E27FC236}">
              <a16:creationId xmlns:a16="http://schemas.microsoft.com/office/drawing/2014/main" id="{0256C923-6B06-4AA7-B953-3C366401208F}"/>
            </a:ext>
          </a:extLst>
        </xdr:cNvPr>
        <xdr:cNvSpPr>
          <a:spLocks noChangeAspect="1" noChangeArrowheads="1"/>
        </xdr:cNvSpPr>
      </xdr:nvSpPr>
      <xdr:spPr bwMode="auto">
        <a:xfrm>
          <a:off x="11268075" y="1322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7</xdr:col>
      <xdr:colOff>0</xdr:colOff>
      <xdr:row>16</xdr:row>
      <xdr:rowOff>0</xdr:rowOff>
    </xdr:from>
    <xdr:to>
      <xdr:col>7</xdr:col>
      <xdr:colOff>304800</xdr:colOff>
      <xdr:row>17</xdr:row>
      <xdr:rowOff>111125</xdr:rowOff>
    </xdr:to>
    <xdr:sp macro="" textlink="">
      <xdr:nvSpPr>
        <xdr:cNvPr id="6" name="AutoShape 5" descr="{\displaystyle Q=0.2787\ C\ D_{i}^{2.63}\ S^{0.54}}">
          <a:extLst>
            <a:ext uri="{FF2B5EF4-FFF2-40B4-BE49-F238E27FC236}">
              <a16:creationId xmlns:a16="http://schemas.microsoft.com/office/drawing/2014/main" id="{86C78B4E-77DF-4CAD-8D52-BB9E2FF446D2}"/>
            </a:ext>
          </a:extLst>
        </xdr:cNvPr>
        <xdr:cNvSpPr>
          <a:spLocks noChangeAspect="1" noChangeArrowheads="1"/>
        </xdr:cNvSpPr>
      </xdr:nvSpPr>
      <xdr:spPr bwMode="auto">
        <a:xfrm>
          <a:off x="7915275" y="3876675"/>
          <a:ext cx="304800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" name="AutoShape 5" descr="{\displaystyle Q=0.2787\ C\ D_{i}^{2.63}\ S^{0.54}}">
          <a:extLst>
            <a:ext uri="{FF2B5EF4-FFF2-40B4-BE49-F238E27FC236}">
              <a16:creationId xmlns:a16="http://schemas.microsoft.com/office/drawing/2014/main" id="{EE6523FC-C764-4CE2-9E7F-EE4025722938}"/>
            </a:ext>
          </a:extLst>
        </xdr:cNvPr>
        <xdr:cNvSpPr>
          <a:spLocks noChangeAspect="1" noChangeArrowheads="1"/>
        </xdr:cNvSpPr>
      </xdr:nvSpPr>
      <xdr:spPr bwMode="auto">
        <a:xfrm>
          <a:off x="8229600" y="393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5" name="AutoShape 5" descr="{\displaystyle Q=0.2787\ C\ D_{i}^{2.63}\ S^{0.54}}">
          <a:extLst>
            <a:ext uri="{FF2B5EF4-FFF2-40B4-BE49-F238E27FC236}">
              <a16:creationId xmlns:a16="http://schemas.microsoft.com/office/drawing/2014/main" id="{AF4E1F35-2846-4C89-B7E7-0C11422DA2D6}"/>
            </a:ext>
          </a:extLst>
        </xdr:cNvPr>
        <xdr:cNvSpPr>
          <a:spLocks noChangeAspect="1" noChangeArrowheads="1"/>
        </xdr:cNvSpPr>
      </xdr:nvSpPr>
      <xdr:spPr bwMode="auto">
        <a:xfrm>
          <a:off x="9486900" y="787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7" name="AutoShape 5" descr="{\displaystyle Q=0.2787\ C\ D_{i}^{2.63}\ S^{0.54}}">
          <a:extLst>
            <a:ext uri="{FF2B5EF4-FFF2-40B4-BE49-F238E27FC236}">
              <a16:creationId xmlns:a16="http://schemas.microsoft.com/office/drawing/2014/main" id="{ED44190D-7410-45D1-80B3-87DF66738DBE}"/>
            </a:ext>
          </a:extLst>
        </xdr:cNvPr>
        <xdr:cNvSpPr>
          <a:spLocks noChangeAspect="1" noChangeArrowheads="1"/>
        </xdr:cNvSpPr>
      </xdr:nvSpPr>
      <xdr:spPr bwMode="auto">
        <a:xfrm>
          <a:off x="948690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9" name="AutoShape 5" descr="{\displaystyle Q=0.2787\ C\ D_{i}^{2.63}\ S^{0.54}}">
          <a:extLst>
            <a:ext uri="{FF2B5EF4-FFF2-40B4-BE49-F238E27FC236}">
              <a16:creationId xmlns:a16="http://schemas.microsoft.com/office/drawing/2014/main" id="{62D1E60D-329F-4983-A07B-5FA2007A3425}"/>
            </a:ext>
          </a:extLst>
        </xdr:cNvPr>
        <xdr:cNvSpPr>
          <a:spLocks noChangeAspect="1" noChangeArrowheads="1"/>
        </xdr:cNvSpPr>
      </xdr:nvSpPr>
      <xdr:spPr bwMode="auto">
        <a:xfrm>
          <a:off x="9486900" y="787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304800" cy="304800"/>
    <xdr:sp macro="" textlink="">
      <xdr:nvSpPr>
        <xdr:cNvPr id="10" name="AutoShape 5" descr="{\displaystyle Q=0.2787\ C\ D_{i}^{2.63}\ S^{0.54}}">
          <a:extLst>
            <a:ext uri="{FF2B5EF4-FFF2-40B4-BE49-F238E27FC236}">
              <a16:creationId xmlns:a16="http://schemas.microsoft.com/office/drawing/2014/main" id="{70514A54-75F4-409C-AAD5-9A7166E26F80}"/>
            </a:ext>
          </a:extLst>
        </xdr:cNvPr>
        <xdr:cNvSpPr>
          <a:spLocks noChangeAspect="1" noChangeArrowheads="1"/>
        </xdr:cNvSpPr>
      </xdr:nvSpPr>
      <xdr:spPr bwMode="auto">
        <a:xfrm>
          <a:off x="948690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304800" cy="304800"/>
    <xdr:sp macro="" textlink="">
      <xdr:nvSpPr>
        <xdr:cNvPr id="11" name="AutoShape 5" descr="{\displaystyle Q=0.2787\ C\ D_{i}^{2.63}\ S^{0.54}}">
          <a:extLst>
            <a:ext uri="{FF2B5EF4-FFF2-40B4-BE49-F238E27FC236}">
              <a16:creationId xmlns:a16="http://schemas.microsoft.com/office/drawing/2014/main" id="{EDD0C182-BD17-4745-8D61-E4931CFD5C8A}"/>
            </a:ext>
          </a:extLst>
        </xdr:cNvPr>
        <xdr:cNvSpPr>
          <a:spLocks noChangeAspect="1" noChangeArrowheads="1"/>
        </xdr:cNvSpPr>
      </xdr:nvSpPr>
      <xdr:spPr bwMode="auto">
        <a:xfrm>
          <a:off x="948690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304800" cy="304800"/>
    <xdr:sp macro="" textlink="">
      <xdr:nvSpPr>
        <xdr:cNvPr id="12" name="AutoShape 5" descr="{\displaystyle Q=0.2787\ C\ D_{i}^{2.63}\ S^{0.54}}">
          <a:extLst>
            <a:ext uri="{FF2B5EF4-FFF2-40B4-BE49-F238E27FC236}">
              <a16:creationId xmlns:a16="http://schemas.microsoft.com/office/drawing/2014/main" id="{5BCCB15C-DD97-4381-8A74-7EA79763B605}"/>
            </a:ext>
          </a:extLst>
        </xdr:cNvPr>
        <xdr:cNvSpPr>
          <a:spLocks noChangeAspect="1" noChangeArrowheads="1"/>
        </xdr:cNvSpPr>
      </xdr:nvSpPr>
      <xdr:spPr bwMode="auto">
        <a:xfrm>
          <a:off x="9486900" y="787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13" name="AutoShape 5" descr="{\displaystyle Q=0.2787\ C\ D_{i}^{2.63}\ S^{0.54}}">
          <a:extLst>
            <a:ext uri="{FF2B5EF4-FFF2-40B4-BE49-F238E27FC236}">
              <a16:creationId xmlns:a16="http://schemas.microsoft.com/office/drawing/2014/main" id="{F235702B-00E8-44FA-B48B-C06AF1C94895}"/>
            </a:ext>
          </a:extLst>
        </xdr:cNvPr>
        <xdr:cNvSpPr>
          <a:spLocks noChangeAspect="1" noChangeArrowheads="1"/>
        </xdr:cNvSpPr>
      </xdr:nvSpPr>
      <xdr:spPr bwMode="auto">
        <a:xfrm>
          <a:off x="948690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14" name="AutoShape 5" descr="{\displaystyle Q=0.2787\ C\ D_{i}^{2.63}\ S^{0.54}}">
          <a:extLst>
            <a:ext uri="{FF2B5EF4-FFF2-40B4-BE49-F238E27FC236}">
              <a16:creationId xmlns:a16="http://schemas.microsoft.com/office/drawing/2014/main" id="{1509F851-ACC8-4C92-AF97-A438C3166274}"/>
            </a:ext>
          </a:extLst>
        </xdr:cNvPr>
        <xdr:cNvSpPr>
          <a:spLocks noChangeAspect="1" noChangeArrowheads="1"/>
        </xdr:cNvSpPr>
      </xdr:nvSpPr>
      <xdr:spPr bwMode="auto">
        <a:xfrm>
          <a:off x="948690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15" name="AutoShape 5" descr="{\displaystyle Q=0.2787\ C\ D_{i}^{2.63}\ S^{0.54}}">
          <a:extLst>
            <a:ext uri="{FF2B5EF4-FFF2-40B4-BE49-F238E27FC236}">
              <a16:creationId xmlns:a16="http://schemas.microsoft.com/office/drawing/2014/main" id="{3C111FDA-7964-4B51-B126-304CB603BE48}"/>
            </a:ext>
          </a:extLst>
        </xdr:cNvPr>
        <xdr:cNvSpPr>
          <a:spLocks noChangeAspect="1" noChangeArrowheads="1"/>
        </xdr:cNvSpPr>
      </xdr:nvSpPr>
      <xdr:spPr bwMode="auto">
        <a:xfrm>
          <a:off x="9486900" y="787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16" name="AutoShape 5" descr="{\displaystyle Q=0.2787\ C\ D_{i}^{2.63}\ S^{0.54}}">
          <a:extLst>
            <a:ext uri="{FF2B5EF4-FFF2-40B4-BE49-F238E27FC236}">
              <a16:creationId xmlns:a16="http://schemas.microsoft.com/office/drawing/2014/main" id="{ABB65DE8-F809-40E9-8470-C7E44F89DEBE}"/>
            </a:ext>
          </a:extLst>
        </xdr:cNvPr>
        <xdr:cNvSpPr>
          <a:spLocks noChangeAspect="1" noChangeArrowheads="1"/>
        </xdr:cNvSpPr>
      </xdr:nvSpPr>
      <xdr:spPr bwMode="auto">
        <a:xfrm>
          <a:off x="948690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17" name="AutoShape 5" descr="{\displaystyle Q=0.2787\ C\ D_{i}^{2.63}\ S^{0.54}}">
          <a:extLst>
            <a:ext uri="{FF2B5EF4-FFF2-40B4-BE49-F238E27FC236}">
              <a16:creationId xmlns:a16="http://schemas.microsoft.com/office/drawing/2014/main" id="{68384CB2-E5D9-41C4-BA1E-668532BB4527}"/>
            </a:ext>
          </a:extLst>
        </xdr:cNvPr>
        <xdr:cNvSpPr>
          <a:spLocks noChangeAspect="1" noChangeArrowheads="1"/>
        </xdr:cNvSpPr>
      </xdr:nvSpPr>
      <xdr:spPr bwMode="auto">
        <a:xfrm>
          <a:off x="948690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39</xdr:row>
      <xdr:rowOff>0</xdr:rowOff>
    </xdr:from>
    <xdr:ext cx="304800" cy="304800"/>
    <xdr:sp macro="" textlink="">
      <xdr:nvSpPr>
        <xdr:cNvPr id="18" name="AutoShape 5" descr="{\displaystyle Q=0.2787\ C\ D_{i}^{2.63}\ S^{0.54}}">
          <a:extLst>
            <a:ext uri="{FF2B5EF4-FFF2-40B4-BE49-F238E27FC236}">
              <a16:creationId xmlns:a16="http://schemas.microsoft.com/office/drawing/2014/main" id="{5DD7F24F-9ED7-4C5C-B67E-50E8084098B0}"/>
            </a:ext>
          </a:extLst>
        </xdr:cNvPr>
        <xdr:cNvSpPr>
          <a:spLocks noChangeAspect="1" noChangeArrowheads="1"/>
        </xdr:cNvSpPr>
      </xdr:nvSpPr>
      <xdr:spPr bwMode="auto">
        <a:xfrm>
          <a:off x="9486900" y="787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40</xdr:row>
      <xdr:rowOff>0</xdr:rowOff>
    </xdr:from>
    <xdr:ext cx="304800" cy="304800"/>
    <xdr:sp macro="" textlink="">
      <xdr:nvSpPr>
        <xdr:cNvPr id="19" name="AutoShape 5" descr="{\displaystyle Q=0.2787\ C\ D_{i}^{2.63}\ S^{0.54}}">
          <a:extLst>
            <a:ext uri="{FF2B5EF4-FFF2-40B4-BE49-F238E27FC236}">
              <a16:creationId xmlns:a16="http://schemas.microsoft.com/office/drawing/2014/main" id="{373E22CE-9D1C-4A60-91E1-06DA4C69389F}"/>
            </a:ext>
          </a:extLst>
        </xdr:cNvPr>
        <xdr:cNvSpPr>
          <a:spLocks noChangeAspect="1" noChangeArrowheads="1"/>
        </xdr:cNvSpPr>
      </xdr:nvSpPr>
      <xdr:spPr bwMode="auto">
        <a:xfrm>
          <a:off x="948690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40</xdr:row>
      <xdr:rowOff>0</xdr:rowOff>
    </xdr:from>
    <xdr:ext cx="304800" cy="304800"/>
    <xdr:sp macro="" textlink="">
      <xdr:nvSpPr>
        <xdr:cNvPr id="20" name="AutoShape 5" descr="{\displaystyle Q=0.2787\ C\ D_{i}^{2.63}\ S^{0.54}}">
          <a:extLst>
            <a:ext uri="{FF2B5EF4-FFF2-40B4-BE49-F238E27FC236}">
              <a16:creationId xmlns:a16="http://schemas.microsoft.com/office/drawing/2014/main" id="{5323DE3E-21EC-4F01-A8EF-F08A615385BF}"/>
            </a:ext>
          </a:extLst>
        </xdr:cNvPr>
        <xdr:cNvSpPr>
          <a:spLocks noChangeAspect="1" noChangeArrowheads="1"/>
        </xdr:cNvSpPr>
      </xdr:nvSpPr>
      <xdr:spPr bwMode="auto">
        <a:xfrm>
          <a:off x="948690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273620</xdr:colOff>
      <xdr:row>46</xdr:row>
      <xdr:rowOff>0</xdr:rowOff>
    </xdr:from>
    <xdr:to>
      <xdr:col>33</xdr:col>
      <xdr:colOff>396875</xdr:colOff>
      <xdr:row>68</xdr:row>
      <xdr:rowOff>95250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5BEB174E-60C5-450C-A4FB-A605ED8D5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667020" y="23221950"/>
          <a:ext cx="5457255" cy="428625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482600</xdr:colOff>
      <xdr:row>43</xdr:row>
      <xdr:rowOff>59106</xdr:rowOff>
    </xdr:from>
    <xdr:to>
      <xdr:col>24</xdr:col>
      <xdr:colOff>533400</xdr:colOff>
      <xdr:row>72</xdr:row>
      <xdr:rowOff>108567</xdr:rowOff>
    </xdr:to>
    <xdr:pic>
      <xdr:nvPicPr>
        <xdr:cNvPr id="10" name="3 Imagen">
          <a:extLst>
            <a:ext uri="{FF2B5EF4-FFF2-40B4-BE49-F238E27FC236}">
              <a16:creationId xmlns:a16="http://schemas.microsoft.com/office/drawing/2014/main" id="{F4DFBFB7-D75C-494F-9274-BBB6EA6B5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780000" y="22709556"/>
          <a:ext cx="4622800" cy="5573961"/>
        </a:xfrm>
        <a:prstGeom prst="rect">
          <a:avLst/>
        </a:prstGeom>
      </xdr:spPr>
    </xdr:pic>
    <xdr:clientData/>
  </xdr:twoCellAnchor>
  <xdr:twoCellAnchor editAs="oneCell">
    <xdr:from>
      <xdr:col>21</xdr:col>
      <xdr:colOff>558800</xdr:colOff>
      <xdr:row>45</xdr:row>
      <xdr:rowOff>0</xdr:rowOff>
    </xdr:from>
    <xdr:to>
      <xdr:col>25</xdr:col>
      <xdr:colOff>434610</xdr:colOff>
      <xdr:row>68</xdr:row>
      <xdr:rowOff>75696</xdr:rowOff>
    </xdr:to>
    <xdr:pic>
      <xdr:nvPicPr>
        <xdr:cNvPr id="11" name="4 Imagen">
          <a:extLst>
            <a:ext uri="{FF2B5EF4-FFF2-40B4-BE49-F238E27FC236}">
              <a16:creationId xmlns:a16="http://schemas.microsoft.com/office/drawing/2014/main" id="{7E3DCD0F-AD88-41FA-B0FB-B5E6FA914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142200" y="23031450"/>
          <a:ext cx="2923810" cy="4457196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304800</xdr:colOff>
      <xdr:row>19</xdr:row>
      <xdr:rowOff>111125</xdr:rowOff>
    </xdr:to>
    <xdr:sp macro="" textlink="">
      <xdr:nvSpPr>
        <xdr:cNvPr id="12" name="AutoShape 5" descr="{\displaystyle Q=0.2787\ C\ D_{i}^{2.63}\ S^{0.54}}">
          <a:extLst>
            <a:ext uri="{FF2B5EF4-FFF2-40B4-BE49-F238E27FC236}">
              <a16:creationId xmlns:a16="http://schemas.microsoft.com/office/drawing/2014/main" id="{766C35E8-D344-42E7-9A18-C9117D23A0E5}"/>
            </a:ext>
          </a:extLst>
        </xdr:cNvPr>
        <xdr:cNvSpPr>
          <a:spLocks noChangeAspect="1" noChangeArrowheads="1"/>
        </xdr:cNvSpPr>
      </xdr:nvSpPr>
      <xdr:spPr bwMode="auto">
        <a:xfrm>
          <a:off x="7867650" y="5219700"/>
          <a:ext cx="304800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13</xdr:col>
      <xdr:colOff>0</xdr:colOff>
      <xdr:row>43</xdr:row>
      <xdr:rowOff>0</xdr:rowOff>
    </xdr:from>
    <xdr:ext cx="304800" cy="304800"/>
    <xdr:sp macro="" textlink="">
      <xdr:nvSpPr>
        <xdr:cNvPr id="13" name="AutoShape 5" descr="{\displaystyle Q=0.2787\ C\ D_{i}^{2.63}\ S^{0.54}}">
          <a:extLst>
            <a:ext uri="{FF2B5EF4-FFF2-40B4-BE49-F238E27FC236}">
              <a16:creationId xmlns:a16="http://schemas.microsoft.com/office/drawing/2014/main" id="{7D42BC0C-34FF-4C04-AE39-F012C24DC158}"/>
            </a:ext>
          </a:extLst>
        </xdr:cNvPr>
        <xdr:cNvSpPr>
          <a:spLocks noChangeAspect="1" noChangeArrowheads="1"/>
        </xdr:cNvSpPr>
      </xdr:nvSpPr>
      <xdr:spPr bwMode="auto">
        <a:xfrm>
          <a:off x="13487400" y="944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intomicasa.com/2008/02/preparacin-casera-de-pintura-con-cal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hermexcel.com/english/tables/eau_atm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D3C62-E039-4167-8D9B-86928EF07FCC}">
  <dimension ref="A1:N201"/>
  <sheetViews>
    <sheetView showGridLines="0" tabSelected="1" topLeftCell="C11" zoomScale="75" zoomScaleNormal="75" workbookViewId="0">
      <selection activeCell="A48" sqref="A48"/>
    </sheetView>
  </sheetViews>
  <sheetFormatPr baseColWidth="10" defaultRowHeight="14.25" x14ac:dyDescent="0.2"/>
  <cols>
    <col min="1" max="1" width="23.85546875" style="8" customWidth="1"/>
    <col min="2" max="2" width="47.140625" style="24" customWidth="1"/>
    <col min="3" max="3" width="54.5703125" style="8" customWidth="1"/>
    <col min="4" max="4" width="18.28515625" style="9" customWidth="1"/>
    <col min="5" max="5" width="11.28515625" style="25" customWidth="1"/>
    <col min="6" max="6" width="13.140625" style="8" customWidth="1"/>
    <col min="7" max="7" width="11.7109375" style="8" customWidth="1"/>
    <col min="8" max="8" width="14.28515625" style="8" customWidth="1"/>
    <col min="9" max="9" width="16.7109375" style="8" customWidth="1"/>
    <col min="10" max="10" width="17.7109375" style="8" customWidth="1"/>
    <col min="11" max="11" width="17.140625" style="8" customWidth="1"/>
    <col min="12" max="12" width="16.140625" style="8" customWidth="1"/>
    <col min="13" max="13" width="19.42578125" style="8" customWidth="1"/>
    <col min="14" max="258" width="11.42578125" style="8"/>
    <col min="259" max="259" width="7.28515625" style="8" customWidth="1"/>
    <col min="260" max="260" width="37.7109375" style="8" customWidth="1"/>
    <col min="261" max="261" width="17.85546875" style="8" customWidth="1"/>
    <col min="262" max="262" width="12.28515625" style="8" bestFit="1" customWidth="1"/>
    <col min="263" max="263" width="11.42578125" style="8"/>
    <col min="264" max="264" width="24.140625" style="8" customWidth="1"/>
    <col min="265" max="266" width="11.42578125" style="8"/>
    <col min="267" max="267" width="17.140625" style="8" customWidth="1"/>
    <col min="268" max="268" width="11.42578125" style="8"/>
    <col min="269" max="269" width="30.28515625" style="8" customWidth="1"/>
    <col min="270" max="514" width="11.42578125" style="8"/>
    <col min="515" max="515" width="7.28515625" style="8" customWidth="1"/>
    <col min="516" max="516" width="37.7109375" style="8" customWidth="1"/>
    <col min="517" max="517" width="17.85546875" style="8" customWidth="1"/>
    <col min="518" max="518" width="12.28515625" style="8" bestFit="1" customWidth="1"/>
    <col min="519" max="519" width="11.42578125" style="8"/>
    <col min="520" max="520" width="24.140625" style="8" customWidth="1"/>
    <col min="521" max="522" width="11.42578125" style="8"/>
    <col min="523" max="523" width="17.140625" style="8" customWidth="1"/>
    <col min="524" max="524" width="11.42578125" style="8"/>
    <col min="525" max="525" width="30.28515625" style="8" customWidth="1"/>
    <col min="526" max="770" width="11.42578125" style="8"/>
    <col min="771" max="771" width="7.28515625" style="8" customWidth="1"/>
    <col min="772" max="772" width="37.7109375" style="8" customWidth="1"/>
    <col min="773" max="773" width="17.85546875" style="8" customWidth="1"/>
    <col min="774" max="774" width="12.28515625" style="8" bestFit="1" customWidth="1"/>
    <col min="775" max="775" width="11.42578125" style="8"/>
    <col min="776" max="776" width="24.140625" style="8" customWidth="1"/>
    <col min="777" max="778" width="11.42578125" style="8"/>
    <col min="779" max="779" width="17.140625" style="8" customWidth="1"/>
    <col min="780" max="780" width="11.42578125" style="8"/>
    <col min="781" max="781" width="30.28515625" style="8" customWidth="1"/>
    <col min="782" max="1026" width="11.42578125" style="8"/>
    <col min="1027" max="1027" width="7.28515625" style="8" customWidth="1"/>
    <col min="1028" max="1028" width="37.7109375" style="8" customWidth="1"/>
    <col min="1029" max="1029" width="17.85546875" style="8" customWidth="1"/>
    <col min="1030" max="1030" width="12.28515625" style="8" bestFit="1" customWidth="1"/>
    <col min="1031" max="1031" width="11.42578125" style="8"/>
    <col min="1032" max="1032" width="24.140625" style="8" customWidth="1"/>
    <col min="1033" max="1034" width="11.42578125" style="8"/>
    <col min="1035" max="1035" width="17.140625" style="8" customWidth="1"/>
    <col min="1036" max="1036" width="11.42578125" style="8"/>
    <col min="1037" max="1037" width="30.28515625" style="8" customWidth="1"/>
    <col min="1038" max="1282" width="11.42578125" style="8"/>
    <col min="1283" max="1283" width="7.28515625" style="8" customWidth="1"/>
    <col min="1284" max="1284" width="37.7109375" style="8" customWidth="1"/>
    <col min="1285" max="1285" width="17.85546875" style="8" customWidth="1"/>
    <col min="1286" max="1286" width="12.28515625" style="8" bestFit="1" customWidth="1"/>
    <col min="1287" max="1287" width="11.42578125" style="8"/>
    <col min="1288" max="1288" width="24.140625" style="8" customWidth="1"/>
    <col min="1289" max="1290" width="11.42578125" style="8"/>
    <col min="1291" max="1291" width="17.140625" style="8" customWidth="1"/>
    <col min="1292" max="1292" width="11.42578125" style="8"/>
    <col min="1293" max="1293" width="30.28515625" style="8" customWidth="1"/>
    <col min="1294" max="1538" width="11.42578125" style="8"/>
    <col min="1539" max="1539" width="7.28515625" style="8" customWidth="1"/>
    <col min="1540" max="1540" width="37.7109375" style="8" customWidth="1"/>
    <col min="1541" max="1541" width="17.85546875" style="8" customWidth="1"/>
    <col min="1542" max="1542" width="12.28515625" style="8" bestFit="1" customWidth="1"/>
    <col min="1543" max="1543" width="11.42578125" style="8"/>
    <col min="1544" max="1544" width="24.140625" style="8" customWidth="1"/>
    <col min="1545" max="1546" width="11.42578125" style="8"/>
    <col min="1547" max="1547" width="17.140625" style="8" customWidth="1"/>
    <col min="1548" max="1548" width="11.42578125" style="8"/>
    <col min="1549" max="1549" width="30.28515625" style="8" customWidth="1"/>
    <col min="1550" max="1794" width="11.42578125" style="8"/>
    <col min="1795" max="1795" width="7.28515625" style="8" customWidth="1"/>
    <col min="1796" max="1796" width="37.7109375" style="8" customWidth="1"/>
    <col min="1797" max="1797" width="17.85546875" style="8" customWidth="1"/>
    <col min="1798" max="1798" width="12.28515625" style="8" bestFit="1" customWidth="1"/>
    <col min="1799" max="1799" width="11.42578125" style="8"/>
    <col min="1800" max="1800" width="24.140625" style="8" customWidth="1"/>
    <col min="1801" max="1802" width="11.42578125" style="8"/>
    <col min="1803" max="1803" width="17.140625" style="8" customWidth="1"/>
    <col min="1804" max="1804" width="11.42578125" style="8"/>
    <col min="1805" max="1805" width="30.28515625" style="8" customWidth="1"/>
    <col min="1806" max="2050" width="11.42578125" style="8"/>
    <col min="2051" max="2051" width="7.28515625" style="8" customWidth="1"/>
    <col min="2052" max="2052" width="37.7109375" style="8" customWidth="1"/>
    <col min="2053" max="2053" width="17.85546875" style="8" customWidth="1"/>
    <col min="2054" max="2054" width="12.28515625" style="8" bestFit="1" customWidth="1"/>
    <col min="2055" max="2055" width="11.42578125" style="8"/>
    <col min="2056" max="2056" width="24.140625" style="8" customWidth="1"/>
    <col min="2057" max="2058" width="11.42578125" style="8"/>
    <col min="2059" max="2059" width="17.140625" style="8" customWidth="1"/>
    <col min="2060" max="2060" width="11.42578125" style="8"/>
    <col min="2061" max="2061" width="30.28515625" style="8" customWidth="1"/>
    <col min="2062" max="2306" width="11.42578125" style="8"/>
    <col min="2307" max="2307" width="7.28515625" style="8" customWidth="1"/>
    <col min="2308" max="2308" width="37.7109375" style="8" customWidth="1"/>
    <col min="2309" max="2309" width="17.85546875" style="8" customWidth="1"/>
    <col min="2310" max="2310" width="12.28515625" style="8" bestFit="1" customWidth="1"/>
    <col min="2311" max="2311" width="11.42578125" style="8"/>
    <col min="2312" max="2312" width="24.140625" style="8" customWidth="1"/>
    <col min="2313" max="2314" width="11.42578125" style="8"/>
    <col min="2315" max="2315" width="17.140625" style="8" customWidth="1"/>
    <col min="2316" max="2316" width="11.42578125" style="8"/>
    <col min="2317" max="2317" width="30.28515625" style="8" customWidth="1"/>
    <col min="2318" max="2562" width="11.42578125" style="8"/>
    <col min="2563" max="2563" width="7.28515625" style="8" customWidth="1"/>
    <col min="2564" max="2564" width="37.7109375" style="8" customWidth="1"/>
    <col min="2565" max="2565" width="17.85546875" style="8" customWidth="1"/>
    <col min="2566" max="2566" width="12.28515625" style="8" bestFit="1" customWidth="1"/>
    <col min="2567" max="2567" width="11.42578125" style="8"/>
    <col min="2568" max="2568" width="24.140625" style="8" customWidth="1"/>
    <col min="2569" max="2570" width="11.42578125" style="8"/>
    <col min="2571" max="2571" width="17.140625" style="8" customWidth="1"/>
    <col min="2572" max="2572" width="11.42578125" style="8"/>
    <col min="2573" max="2573" width="30.28515625" style="8" customWidth="1"/>
    <col min="2574" max="2818" width="11.42578125" style="8"/>
    <col min="2819" max="2819" width="7.28515625" style="8" customWidth="1"/>
    <col min="2820" max="2820" width="37.7109375" style="8" customWidth="1"/>
    <col min="2821" max="2821" width="17.85546875" style="8" customWidth="1"/>
    <col min="2822" max="2822" width="12.28515625" style="8" bestFit="1" customWidth="1"/>
    <col min="2823" max="2823" width="11.42578125" style="8"/>
    <col min="2824" max="2824" width="24.140625" style="8" customWidth="1"/>
    <col min="2825" max="2826" width="11.42578125" style="8"/>
    <col min="2827" max="2827" width="17.140625" style="8" customWidth="1"/>
    <col min="2828" max="2828" width="11.42578125" style="8"/>
    <col min="2829" max="2829" width="30.28515625" style="8" customWidth="1"/>
    <col min="2830" max="3074" width="11.42578125" style="8"/>
    <col min="3075" max="3075" width="7.28515625" style="8" customWidth="1"/>
    <col min="3076" max="3076" width="37.7109375" style="8" customWidth="1"/>
    <col min="3077" max="3077" width="17.85546875" style="8" customWidth="1"/>
    <col min="3078" max="3078" width="12.28515625" style="8" bestFit="1" customWidth="1"/>
    <col min="3079" max="3079" width="11.42578125" style="8"/>
    <col min="3080" max="3080" width="24.140625" style="8" customWidth="1"/>
    <col min="3081" max="3082" width="11.42578125" style="8"/>
    <col min="3083" max="3083" width="17.140625" style="8" customWidth="1"/>
    <col min="3084" max="3084" width="11.42578125" style="8"/>
    <col min="3085" max="3085" width="30.28515625" style="8" customWidth="1"/>
    <col min="3086" max="3330" width="11.42578125" style="8"/>
    <col min="3331" max="3331" width="7.28515625" style="8" customWidth="1"/>
    <col min="3332" max="3332" width="37.7109375" style="8" customWidth="1"/>
    <col min="3333" max="3333" width="17.85546875" style="8" customWidth="1"/>
    <col min="3334" max="3334" width="12.28515625" style="8" bestFit="1" customWidth="1"/>
    <col min="3335" max="3335" width="11.42578125" style="8"/>
    <col min="3336" max="3336" width="24.140625" style="8" customWidth="1"/>
    <col min="3337" max="3338" width="11.42578125" style="8"/>
    <col min="3339" max="3339" width="17.140625" style="8" customWidth="1"/>
    <col min="3340" max="3340" width="11.42578125" style="8"/>
    <col min="3341" max="3341" width="30.28515625" style="8" customWidth="1"/>
    <col min="3342" max="3586" width="11.42578125" style="8"/>
    <col min="3587" max="3587" width="7.28515625" style="8" customWidth="1"/>
    <col min="3588" max="3588" width="37.7109375" style="8" customWidth="1"/>
    <col min="3589" max="3589" width="17.85546875" style="8" customWidth="1"/>
    <col min="3590" max="3590" width="12.28515625" style="8" bestFit="1" customWidth="1"/>
    <col min="3591" max="3591" width="11.42578125" style="8"/>
    <col min="3592" max="3592" width="24.140625" style="8" customWidth="1"/>
    <col min="3593" max="3594" width="11.42578125" style="8"/>
    <col min="3595" max="3595" width="17.140625" style="8" customWidth="1"/>
    <col min="3596" max="3596" width="11.42578125" style="8"/>
    <col min="3597" max="3597" width="30.28515625" style="8" customWidth="1"/>
    <col min="3598" max="3842" width="11.42578125" style="8"/>
    <col min="3843" max="3843" width="7.28515625" style="8" customWidth="1"/>
    <col min="3844" max="3844" width="37.7109375" style="8" customWidth="1"/>
    <col min="3845" max="3845" width="17.85546875" style="8" customWidth="1"/>
    <col min="3846" max="3846" width="12.28515625" style="8" bestFit="1" customWidth="1"/>
    <col min="3847" max="3847" width="11.42578125" style="8"/>
    <col min="3848" max="3848" width="24.140625" style="8" customWidth="1"/>
    <col min="3849" max="3850" width="11.42578125" style="8"/>
    <col min="3851" max="3851" width="17.140625" style="8" customWidth="1"/>
    <col min="3852" max="3852" width="11.42578125" style="8"/>
    <col min="3853" max="3853" width="30.28515625" style="8" customWidth="1"/>
    <col min="3854" max="4098" width="11.42578125" style="8"/>
    <col min="4099" max="4099" width="7.28515625" style="8" customWidth="1"/>
    <col min="4100" max="4100" width="37.7109375" style="8" customWidth="1"/>
    <col min="4101" max="4101" width="17.85546875" style="8" customWidth="1"/>
    <col min="4102" max="4102" width="12.28515625" style="8" bestFit="1" customWidth="1"/>
    <col min="4103" max="4103" width="11.42578125" style="8"/>
    <col min="4104" max="4104" width="24.140625" style="8" customWidth="1"/>
    <col min="4105" max="4106" width="11.42578125" style="8"/>
    <col min="4107" max="4107" width="17.140625" style="8" customWidth="1"/>
    <col min="4108" max="4108" width="11.42578125" style="8"/>
    <col min="4109" max="4109" width="30.28515625" style="8" customWidth="1"/>
    <col min="4110" max="4354" width="11.42578125" style="8"/>
    <col min="4355" max="4355" width="7.28515625" style="8" customWidth="1"/>
    <col min="4356" max="4356" width="37.7109375" style="8" customWidth="1"/>
    <col min="4357" max="4357" width="17.85546875" style="8" customWidth="1"/>
    <col min="4358" max="4358" width="12.28515625" style="8" bestFit="1" customWidth="1"/>
    <col min="4359" max="4359" width="11.42578125" style="8"/>
    <col min="4360" max="4360" width="24.140625" style="8" customWidth="1"/>
    <col min="4361" max="4362" width="11.42578125" style="8"/>
    <col min="4363" max="4363" width="17.140625" style="8" customWidth="1"/>
    <col min="4364" max="4364" width="11.42578125" style="8"/>
    <col min="4365" max="4365" width="30.28515625" style="8" customWidth="1"/>
    <col min="4366" max="4610" width="11.42578125" style="8"/>
    <col min="4611" max="4611" width="7.28515625" style="8" customWidth="1"/>
    <col min="4612" max="4612" width="37.7109375" style="8" customWidth="1"/>
    <col min="4613" max="4613" width="17.85546875" style="8" customWidth="1"/>
    <col min="4614" max="4614" width="12.28515625" style="8" bestFit="1" customWidth="1"/>
    <col min="4615" max="4615" width="11.42578125" style="8"/>
    <col min="4616" max="4616" width="24.140625" style="8" customWidth="1"/>
    <col min="4617" max="4618" width="11.42578125" style="8"/>
    <col min="4619" max="4619" width="17.140625" style="8" customWidth="1"/>
    <col min="4620" max="4620" width="11.42578125" style="8"/>
    <col min="4621" max="4621" width="30.28515625" style="8" customWidth="1"/>
    <col min="4622" max="4866" width="11.42578125" style="8"/>
    <col min="4867" max="4867" width="7.28515625" style="8" customWidth="1"/>
    <col min="4868" max="4868" width="37.7109375" style="8" customWidth="1"/>
    <col min="4869" max="4869" width="17.85546875" style="8" customWidth="1"/>
    <col min="4870" max="4870" width="12.28515625" style="8" bestFit="1" customWidth="1"/>
    <col min="4871" max="4871" width="11.42578125" style="8"/>
    <col min="4872" max="4872" width="24.140625" style="8" customWidth="1"/>
    <col min="4873" max="4874" width="11.42578125" style="8"/>
    <col min="4875" max="4875" width="17.140625" style="8" customWidth="1"/>
    <col min="4876" max="4876" width="11.42578125" style="8"/>
    <col min="4877" max="4877" width="30.28515625" style="8" customWidth="1"/>
    <col min="4878" max="5122" width="11.42578125" style="8"/>
    <col min="5123" max="5123" width="7.28515625" style="8" customWidth="1"/>
    <col min="5124" max="5124" width="37.7109375" style="8" customWidth="1"/>
    <col min="5125" max="5125" width="17.85546875" style="8" customWidth="1"/>
    <col min="5126" max="5126" width="12.28515625" style="8" bestFit="1" customWidth="1"/>
    <col min="5127" max="5127" width="11.42578125" style="8"/>
    <col min="5128" max="5128" width="24.140625" style="8" customWidth="1"/>
    <col min="5129" max="5130" width="11.42578125" style="8"/>
    <col min="5131" max="5131" width="17.140625" style="8" customWidth="1"/>
    <col min="5132" max="5132" width="11.42578125" style="8"/>
    <col min="5133" max="5133" width="30.28515625" style="8" customWidth="1"/>
    <col min="5134" max="5378" width="11.42578125" style="8"/>
    <col min="5379" max="5379" width="7.28515625" style="8" customWidth="1"/>
    <col min="5380" max="5380" width="37.7109375" style="8" customWidth="1"/>
    <col min="5381" max="5381" width="17.85546875" style="8" customWidth="1"/>
    <col min="5382" max="5382" width="12.28515625" style="8" bestFit="1" customWidth="1"/>
    <col min="5383" max="5383" width="11.42578125" style="8"/>
    <col min="5384" max="5384" width="24.140625" style="8" customWidth="1"/>
    <col min="5385" max="5386" width="11.42578125" style="8"/>
    <col min="5387" max="5387" width="17.140625" style="8" customWidth="1"/>
    <col min="5388" max="5388" width="11.42578125" style="8"/>
    <col min="5389" max="5389" width="30.28515625" style="8" customWidth="1"/>
    <col min="5390" max="5634" width="11.42578125" style="8"/>
    <col min="5635" max="5635" width="7.28515625" style="8" customWidth="1"/>
    <col min="5636" max="5636" width="37.7109375" style="8" customWidth="1"/>
    <col min="5637" max="5637" width="17.85546875" style="8" customWidth="1"/>
    <col min="5638" max="5638" width="12.28515625" style="8" bestFit="1" customWidth="1"/>
    <col min="5639" max="5639" width="11.42578125" style="8"/>
    <col min="5640" max="5640" width="24.140625" style="8" customWidth="1"/>
    <col min="5641" max="5642" width="11.42578125" style="8"/>
    <col min="5643" max="5643" width="17.140625" style="8" customWidth="1"/>
    <col min="5644" max="5644" width="11.42578125" style="8"/>
    <col min="5645" max="5645" width="30.28515625" style="8" customWidth="1"/>
    <col min="5646" max="5890" width="11.42578125" style="8"/>
    <col min="5891" max="5891" width="7.28515625" style="8" customWidth="1"/>
    <col min="5892" max="5892" width="37.7109375" style="8" customWidth="1"/>
    <col min="5893" max="5893" width="17.85546875" style="8" customWidth="1"/>
    <col min="5894" max="5894" width="12.28515625" style="8" bestFit="1" customWidth="1"/>
    <col min="5895" max="5895" width="11.42578125" style="8"/>
    <col min="5896" max="5896" width="24.140625" style="8" customWidth="1"/>
    <col min="5897" max="5898" width="11.42578125" style="8"/>
    <col min="5899" max="5899" width="17.140625" style="8" customWidth="1"/>
    <col min="5900" max="5900" width="11.42578125" style="8"/>
    <col min="5901" max="5901" width="30.28515625" style="8" customWidth="1"/>
    <col min="5902" max="6146" width="11.42578125" style="8"/>
    <col min="6147" max="6147" width="7.28515625" style="8" customWidth="1"/>
    <col min="6148" max="6148" width="37.7109375" style="8" customWidth="1"/>
    <col min="6149" max="6149" width="17.85546875" style="8" customWidth="1"/>
    <col min="6150" max="6150" width="12.28515625" style="8" bestFit="1" customWidth="1"/>
    <col min="6151" max="6151" width="11.42578125" style="8"/>
    <col min="6152" max="6152" width="24.140625" style="8" customWidth="1"/>
    <col min="6153" max="6154" width="11.42578125" style="8"/>
    <col min="6155" max="6155" width="17.140625" style="8" customWidth="1"/>
    <col min="6156" max="6156" width="11.42578125" style="8"/>
    <col min="6157" max="6157" width="30.28515625" style="8" customWidth="1"/>
    <col min="6158" max="6402" width="11.42578125" style="8"/>
    <col min="6403" max="6403" width="7.28515625" style="8" customWidth="1"/>
    <col min="6404" max="6404" width="37.7109375" style="8" customWidth="1"/>
    <col min="6405" max="6405" width="17.85546875" style="8" customWidth="1"/>
    <col min="6406" max="6406" width="12.28515625" style="8" bestFit="1" customWidth="1"/>
    <col min="6407" max="6407" width="11.42578125" style="8"/>
    <col min="6408" max="6408" width="24.140625" style="8" customWidth="1"/>
    <col min="6409" max="6410" width="11.42578125" style="8"/>
    <col min="6411" max="6411" width="17.140625" style="8" customWidth="1"/>
    <col min="6412" max="6412" width="11.42578125" style="8"/>
    <col min="6413" max="6413" width="30.28515625" style="8" customWidth="1"/>
    <col min="6414" max="6658" width="11.42578125" style="8"/>
    <col min="6659" max="6659" width="7.28515625" style="8" customWidth="1"/>
    <col min="6660" max="6660" width="37.7109375" style="8" customWidth="1"/>
    <col min="6661" max="6661" width="17.85546875" style="8" customWidth="1"/>
    <col min="6662" max="6662" width="12.28515625" style="8" bestFit="1" customWidth="1"/>
    <col min="6663" max="6663" width="11.42578125" style="8"/>
    <col min="6664" max="6664" width="24.140625" style="8" customWidth="1"/>
    <col min="6665" max="6666" width="11.42578125" style="8"/>
    <col min="6667" max="6667" width="17.140625" style="8" customWidth="1"/>
    <col min="6668" max="6668" width="11.42578125" style="8"/>
    <col min="6669" max="6669" width="30.28515625" style="8" customWidth="1"/>
    <col min="6670" max="6914" width="11.42578125" style="8"/>
    <col min="6915" max="6915" width="7.28515625" style="8" customWidth="1"/>
    <col min="6916" max="6916" width="37.7109375" style="8" customWidth="1"/>
    <col min="6917" max="6917" width="17.85546875" style="8" customWidth="1"/>
    <col min="6918" max="6918" width="12.28515625" style="8" bestFit="1" customWidth="1"/>
    <col min="6919" max="6919" width="11.42578125" style="8"/>
    <col min="6920" max="6920" width="24.140625" style="8" customWidth="1"/>
    <col min="6921" max="6922" width="11.42578125" style="8"/>
    <col min="6923" max="6923" width="17.140625" style="8" customWidth="1"/>
    <col min="6924" max="6924" width="11.42578125" style="8"/>
    <col min="6925" max="6925" width="30.28515625" style="8" customWidth="1"/>
    <col min="6926" max="7170" width="11.42578125" style="8"/>
    <col min="7171" max="7171" width="7.28515625" style="8" customWidth="1"/>
    <col min="7172" max="7172" width="37.7109375" style="8" customWidth="1"/>
    <col min="7173" max="7173" width="17.85546875" style="8" customWidth="1"/>
    <col min="7174" max="7174" width="12.28515625" style="8" bestFit="1" customWidth="1"/>
    <col min="7175" max="7175" width="11.42578125" style="8"/>
    <col min="7176" max="7176" width="24.140625" style="8" customWidth="1"/>
    <col min="7177" max="7178" width="11.42578125" style="8"/>
    <col min="7179" max="7179" width="17.140625" style="8" customWidth="1"/>
    <col min="7180" max="7180" width="11.42578125" style="8"/>
    <col min="7181" max="7181" width="30.28515625" style="8" customWidth="1"/>
    <col min="7182" max="7426" width="11.42578125" style="8"/>
    <col min="7427" max="7427" width="7.28515625" style="8" customWidth="1"/>
    <col min="7428" max="7428" width="37.7109375" style="8" customWidth="1"/>
    <col min="7429" max="7429" width="17.85546875" style="8" customWidth="1"/>
    <col min="7430" max="7430" width="12.28515625" style="8" bestFit="1" customWidth="1"/>
    <col min="7431" max="7431" width="11.42578125" style="8"/>
    <col min="7432" max="7432" width="24.140625" style="8" customWidth="1"/>
    <col min="7433" max="7434" width="11.42578125" style="8"/>
    <col min="7435" max="7435" width="17.140625" style="8" customWidth="1"/>
    <col min="7436" max="7436" width="11.42578125" style="8"/>
    <col min="7437" max="7437" width="30.28515625" style="8" customWidth="1"/>
    <col min="7438" max="7682" width="11.42578125" style="8"/>
    <col min="7683" max="7683" width="7.28515625" style="8" customWidth="1"/>
    <col min="7684" max="7684" width="37.7109375" style="8" customWidth="1"/>
    <col min="7685" max="7685" width="17.85546875" style="8" customWidth="1"/>
    <col min="7686" max="7686" width="12.28515625" style="8" bestFit="1" customWidth="1"/>
    <col min="7687" max="7687" width="11.42578125" style="8"/>
    <col min="7688" max="7688" width="24.140625" style="8" customWidth="1"/>
    <col min="7689" max="7690" width="11.42578125" style="8"/>
    <col min="7691" max="7691" width="17.140625" style="8" customWidth="1"/>
    <col min="7692" max="7692" width="11.42578125" style="8"/>
    <col min="7693" max="7693" width="30.28515625" style="8" customWidth="1"/>
    <col min="7694" max="7938" width="11.42578125" style="8"/>
    <col min="7939" max="7939" width="7.28515625" style="8" customWidth="1"/>
    <col min="7940" max="7940" width="37.7109375" style="8" customWidth="1"/>
    <col min="7941" max="7941" width="17.85546875" style="8" customWidth="1"/>
    <col min="7942" max="7942" width="12.28515625" style="8" bestFit="1" customWidth="1"/>
    <col min="7943" max="7943" width="11.42578125" style="8"/>
    <col min="7944" max="7944" width="24.140625" style="8" customWidth="1"/>
    <col min="7945" max="7946" width="11.42578125" style="8"/>
    <col min="7947" max="7947" width="17.140625" style="8" customWidth="1"/>
    <col min="7948" max="7948" width="11.42578125" style="8"/>
    <col min="7949" max="7949" width="30.28515625" style="8" customWidth="1"/>
    <col min="7950" max="8194" width="11.42578125" style="8"/>
    <col min="8195" max="8195" width="7.28515625" style="8" customWidth="1"/>
    <col min="8196" max="8196" width="37.7109375" style="8" customWidth="1"/>
    <col min="8197" max="8197" width="17.85546875" style="8" customWidth="1"/>
    <col min="8198" max="8198" width="12.28515625" style="8" bestFit="1" customWidth="1"/>
    <col min="8199" max="8199" width="11.42578125" style="8"/>
    <col min="8200" max="8200" width="24.140625" style="8" customWidth="1"/>
    <col min="8201" max="8202" width="11.42578125" style="8"/>
    <col min="8203" max="8203" width="17.140625" style="8" customWidth="1"/>
    <col min="8204" max="8204" width="11.42578125" style="8"/>
    <col min="8205" max="8205" width="30.28515625" style="8" customWidth="1"/>
    <col min="8206" max="8450" width="11.42578125" style="8"/>
    <col min="8451" max="8451" width="7.28515625" style="8" customWidth="1"/>
    <col min="8452" max="8452" width="37.7109375" style="8" customWidth="1"/>
    <col min="8453" max="8453" width="17.85546875" style="8" customWidth="1"/>
    <col min="8454" max="8454" width="12.28515625" style="8" bestFit="1" customWidth="1"/>
    <col min="8455" max="8455" width="11.42578125" style="8"/>
    <col min="8456" max="8456" width="24.140625" style="8" customWidth="1"/>
    <col min="8457" max="8458" width="11.42578125" style="8"/>
    <col min="8459" max="8459" width="17.140625" style="8" customWidth="1"/>
    <col min="8460" max="8460" width="11.42578125" style="8"/>
    <col min="8461" max="8461" width="30.28515625" style="8" customWidth="1"/>
    <col min="8462" max="8706" width="11.42578125" style="8"/>
    <col min="8707" max="8707" width="7.28515625" style="8" customWidth="1"/>
    <col min="8708" max="8708" width="37.7109375" style="8" customWidth="1"/>
    <col min="8709" max="8709" width="17.85546875" style="8" customWidth="1"/>
    <col min="8710" max="8710" width="12.28515625" style="8" bestFit="1" customWidth="1"/>
    <col min="8711" max="8711" width="11.42578125" style="8"/>
    <col min="8712" max="8712" width="24.140625" style="8" customWidth="1"/>
    <col min="8713" max="8714" width="11.42578125" style="8"/>
    <col min="8715" max="8715" width="17.140625" style="8" customWidth="1"/>
    <col min="8716" max="8716" width="11.42578125" style="8"/>
    <col min="8717" max="8717" width="30.28515625" style="8" customWidth="1"/>
    <col min="8718" max="8962" width="11.42578125" style="8"/>
    <col min="8963" max="8963" width="7.28515625" style="8" customWidth="1"/>
    <col min="8964" max="8964" width="37.7109375" style="8" customWidth="1"/>
    <col min="8965" max="8965" width="17.85546875" style="8" customWidth="1"/>
    <col min="8966" max="8966" width="12.28515625" style="8" bestFit="1" customWidth="1"/>
    <col min="8967" max="8967" width="11.42578125" style="8"/>
    <col min="8968" max="8968" width="24.140625" style="8" customWidth="1"/>
    <col min="8969" max="8970" width="11.42578125" style="8"/>
    <col min="8971" max="8971" width="17.140625" style="8" customWidth="1"/>
    <col min="8972" max="8972" width="11.42578125" style="8"/>
    <col min="8973" max="8973" width="30.28515625" style="8" customWidth="1"/>
    <col min="8974" max="9218" width="11.42578125" style="8"/>
    <col min="9219" max="9219" width="7.28515625" style="8" customWidth="1"/>
    <col min="9220" max="9220" width="37.7109375" style="8" customWidth="1"/>
    <col min="9221" max="9221" width="17.85546875" style="8" customWidth="1"/>
    <col min="9222" max="9222" width="12.28515625" style="8" bestFit="1" customWidth="1"/>
    <col min="9223" max="9223" width="11.42578125" style="8"/>
    <col min="9224" max="9224" width="24.140625" style="8" customWidth="1"/>
    <col min="9225" max="9226" width="11.42578125" style="8"/>
    <col min="9227" max="9227" width="17.140625" style="8" customWidth="1"/>
    <col min="9228" max="9228" width="11.42578125" style="8"/>
    <col min="9229" max="9229" width="30.28515625" style="8" customWidth="1"/>
    <col min="9230" max="9474" width="11.42578125" style="8"/>
    <col min="9475" max="9475" width="7.28515625" style="8" customWidth="1"/>
    <col min="9476" max="9476" width="37.7109375" style="8" customWidth="1"/>
    <col min="9477" max="9477" width="17.85546875" style="8" customWidth="1"/>
    <col min="9478" max="9478" width="12.28515625" style="8" bestFit="1" customWidth="1"/>
    <col min="9479" max="9479" width="11.42578125" style="8"/>
    <col min="9480" max="9480" width="24.140625" style="8" customWidth="1"/>
    <col min="9481" max="9482" width="11.42578125" style="8"/>
    <col min="9483" max="9483" width="17.140625" style="8" customWidth="1"/>
    <col min="9484" max="9484" width="11.42578125" style="8"/>
    <col min="9485" max="9485" width="30.28515625" style="8" customWidth="1"/>
    <col min="9486" max="9730" width="11.42578125" style="8"/>
    <col min="9731" max="9731" width="7.28515625" style="8" customWidth="1"/>
    <col min="9732" max="9732" width="37.7109375" style="8" customWidth="1"/>
    <col min="9733" max="9733" width="17.85546875" style="8" customWidth="1"/>
    <col min="9734" max="9734" width="12.28515625" style="8" bestFit="1" customWidth="1"/>
    <col min="9735" max="9735" width="11.42578125" style="8"/>
    <col min="9736" max="9736" width="24.140625" style="8" customWidth="1"/>
    <col min="9737" max="9738" width="11.42578125" style="8"/>
    <col min="9739" max="9739" width="17.140625" style="8" customWidth="1"/>
    <col min="9740" max="9740" width="11.42578125" style="8"/>
    <col min="9741" max="9741" width="30.28515625" style="8" customWidth="1"/>
    <col min="9742" max="9986" width="11.42578125" style="8"/>
    <col min="9987" max="9987" width="7.28515625" style="8" customWidth="1"/>
    <col min="9988" max="9988" width="37.7109375" style="8" customWidth="1"/>
    <col min="9989" max="9989" width="17.85546875" style="8" customWidth="1"/>
    <col min="9990" max="9990" width="12.28515625" style="8" bestFit="1" customWidth="1"/>
    <col min="9991" max="9991" width="11.42578125" style="8"/>
    <col min="9992" max="9992" width="24.140625" style="8" customWidth="1"/>
    <col min="9993" max="9994" width="11.42578125" style="8"/>
    <col min="9995" max="9995" width="17.140625" style="8" customWidth="1"/>
    <col min="9996" max="9996" width="11.42578125" style="8"/>
    <col min="9997" max="9997" width="30.28515625" style="8" customWidth="1"/>
    <col min="9998" max="10242" width="11.42578125" style="8"/>
    <col min="10243" max="10243" width="7.28515625" style="8" customWidth="1"/>
    <col min="10244" max="10244" width="37.7109375" style="8" customWidth="1"/>
    <col min="10245" max="10245" width="17.85546875" style="8" customWidth="1"/>
    <col min="10246" max="10246" width="12.28515625" style="8" bestFit="1" customWidth="1"/>
    <col min="10247" max="10247" width="11.42578125" style="8"/>
    <col min="10248" max="10248" width="24.140625" style="8" customWidth="1"/>
    <col min="10249" max="10250" width="11.42578125" style="8"/>
    <col min="10251" max="10251" width="17.140625" style="8" customWidth="1"/>
    <col min="10252" max="10252" width="11.42578125" style="8"/>
    <col min="10253" max="10253" width="30.28515625" style="8" customWidth="1"/>
    <col min="10254" max="10498" width="11.42578125" style="8"/>
    <col min="10499" max="10499" width="7.28515625" style="8" customWidth="1"/>
    <col min="10500" max="10500" width="37.7109375" style="8" customWidth="1"/>
    <col min="10501" max="10501" width="17.85546875" style="8" customWidth="1"/>
    <col min="10502" max="10502" width="12.28515625" style="8" bestFit="1" customWidth="1"/>
    <col min="10503" max="10503" width="11.42578125" style="8"/>
    <col min="10504" max="10504" width="24.140625" style="8" customWidth="1"/>
    <col min="10505" max="10506" width="11.42578125" style="8"/>
    <col min="10507" max="10507" width="17.140625" style="8" customWidth="1"/>
    <col min="10508" max="10508" width="11.42578125" style="8"/>
    <col min="10509" max="10509" width="30.28515625" style="8" customWidth="1"/>
    <col min="10510" max="10754" width="11.42578125" style="8"/>
    <col min="10755" max="10755" width="7.28515625" style="8" customWidth="1"/>
    <col min="10756" max="10756" width="37.7109375" style="8" customWidth="1"/>
    <col min="10757" max="10757" width="17.85546875" style="8" customWidth="1"/>
    <col min="10758" max="10758" width="12.28515625" style="8" bestFit="1" customWidth="1"/>
    <col min="10759" max="10759" width="11.42578125" style="8"/>
    <col min="10760" max="10760" width="24.140625" style="8" customWidth="1"/>
    <col min="10761" max="10762" width="11.42578125" style="8"/>
    <col min="10763" max="10763" width="17.140625" style="8" customWidth="1"/>
    <col min="10764" max="10764" width="11.42578125" style="8"/>
    <col min="10765" max="10765" width="30.28515625" style="8" customWidth="1"/>
    <col min="10766" max="11010" width="11.42578125" style="8"/>
    <col min="11011" max="11011" width="7.28515625" style="8" customWidth="1"/>
    <col min="11012" max="11012" width="37.7109375" style="8" customWidth="1"/>
    <col min="11013" max="11013" width="17.85546875" style="8" customWidth="1"/>
    <col min="11014" max="11014" width="12.28515625" style="8" bestFit="1" customWidth="1"/>
    <col min="11015" max="11015" width="11.42578125" style="8"/>
    <col min="11016" max="11016" width="24.140625" style="8" customWidth="1"/>
    <col min="11017" max="11018" width="11.42578125" style="8"/>
    <col min="11019" max="11019" width="17.140625" style="8" customWidth="1"/>
    <col min="11020" max="11020" width="11.42578125" style="8"/>
    <col min="11021" max="11021" width="30.28515625" style="8" customWidth="1"/>
    <col min="11022" max="11266" width="11.42578125" style="8"/>
    <col min="11267" max="11267" width="7.28515625" style="8" customWidth="1"/>
    <col min="11268" max="11268" width="37.7109375" style="8" customWidth="1"/>
    <col min="11269" max="11269" width="17.85546875" style="8" customWidth="1"/>
    <col min="11270" max="11270" width="12.28515625" style="8" bestFit="1" customWidth="1"/>
    <col min="11271" max="11271" width="11.42578125" style="8"/>
    <col min="11272" max="11272" width="24.140625" style="8" customWidth="1"/>
    <col min="11273" max="11274" width="11.42578125" style="8"/>
    <col min="11275" max="11275" width="17.140625" style="8" customWidth="1"/>
    <col min="11276" max="11276" width="11.42578125" style="8"/>
    <col min="11277" max="11277" width="30.28515625" style="8" customWidth="1"/>
    <col min="11278" max="11522" width="11.42578125" style="8"/>
    <col min="11523" max="11523" width="7.28515625" style="8" customWidth="1"/>
    <col min="11524" max="11524" width="37.7109375" style="8" customWidth="1"/>
    <col min="11525" max="11525" width="17.85546875" style="8" customWidth="1"/>
    <col min="11526" max="11526" width="12.28515625" style="8" bestFit="1" customWidth="1"/>
    <col min="11527" max="11527" width="11.42578125" style="8"/>
    <col min="11528" max="11528" width="24.140625" style="8" customWidth="1"/>
    <col min="11529" max="11530" width="11.42578125" style="8"/>
    <col min="11531" max="11531" width="17.140625" style="8" customWidth="1"/>
    <col min="11532" max="11532" width="11.42578125" style="8"/>
    <col min="11533" max="11533" width="30.28515625" style="8" customWidth="1"/>
    <col min="11534" max="11778" width="11.42578125" style="8"/>
    <col min="11779" max="11779" width="7.28515625" style="8" customWidth="1"/>
    <col min="11780" max="11780" width="37.7109375" style="8" customWidth="1"/>
    <col min="11781" max="11781" width="17.85546875" style="8" customWidth="1"/>
    <col min="11782" max="11782" width="12.28515625" style="8" bestFit="1" customWidth="1"/>
    <col min="11783" max="11783" width="11.42578125" style="8"/>
    <col min="11784" max="11784" width="24.140625" style="8" customWidth="1"/>
    <col min="11785" max="11786" width="11.42578125" style="8"/>
    <col min="11787" max="11787" width="17.140625" style="8" customWidth="1"/>
    <col min="11788" max="11788" width="11.42578125" style="8"/>
    <col min="11789" max="11789" width="30.28515625" style="8" customWidth="1"/>
    <col min="11790" max="12034" width="11.42578125" style="8"/>
    <col min="12035" max="12035" width="7.28515625" style="8" customWidth="1"/>
    <col min="12036" max="12036" width="37.7109375" style="8" customWidth="1"/>
    <col min="12037" max="12037" width="17.85546875" style="8" customWidth="1"/>
    <col min="12038" max="12038" width="12.28515625" style="8" bestFit="1" customWidth="1"/>
    <col min="12039" max="12039" width="11.42578125" style="8"/>
    <col min="12040" max="12040" width="24.140625" style="8" customWidth="1"/>
    <col min="12041" max="12042" width="11.42578125" style="8"/>
    <col min="12043" max="12043" width="17.140625" style="8" customWidth="1"/>
    <col min="12044" max="12044" width="11.42578125" style="8"/>
    <col min="12045" max="12045" width="30.28515625" style="8" customWidth="1"/>
    <col min="12046" max="12290" width="11.42578125" style="8"/>
    <col min="12291" max="12291" width="7.28515625" style="8" customWidth="1"/>
    <col min="12292" max="12292" width="37.7109375" style="8" customWidth="1"/>
    <col min="12293" max="12293" width="17.85546875" style="8" customWidth="1"/>
    <col min="12294" max="12294" width="12.28515625" style="8" bestFit="1" customWidth="1"/>
    <col min="12295" max="12295" width="11.42578125" style="8"/>
    <col min="12296" max="12296" width="24.140625" style="8" customWidth="1"/>
    <col min="12297" max="12298" width="11.42578125" style="8"/>
    <col min="12299" max="12299" width="17.140625" style="8" customWidth="1"/>
    <col min="12300" max="12300" width="11.42578125" style="8"/>
    <col min="12301" max="12301" width="30.28515625" style="8" customWidth="1"/>
    <col min="12302" max="12546" width="11.42578125" style="8"/>
    <col min="12547" max="12547" width="7.28515625" style="8" customWidth="1"/>
    <col min="12548" max="12548" width="37.7109375" style="8" customWidth="1"/>
    <col min="12549" max="12549" width="17.85546875" style="8" customWidth="1"/>
    <col min="12550" max="12550" width="12.28515625" style="8" bestFit="1" customWidth="1"/>
    <col min="12551" max="12551" width="11.42578125" style="8"/>
    <col min="12552" max="12552" width="24.140625" style="8" customWidth="1"/>
    <col min="12553" max="12554" width="11.42578125" style="8"/>
    <col min="12555" max="12555" width="17.140625" style="8" customWidth="1"/>
    <col min="12556" max="12556" width="11.42578125" style="8"/>
    <col min="12557" max="12557" width="30.28515625" style="8" customWidth="1"/>
    <col min="12558" max="12802" width="11.42578125" style="8"/>
    <col min="12803" max="12803" width="7.28515625" style="8" customWidth="1"/>
    <col min="12804" max="12804" width="37.7109375" style="8" customWidth="1"/>
    <col min="12805" max="12805" width="17.85546875" style="8" customWidth="1"/>
    <col min="12806" max="12806" width="12.28515625" style="8" bestFit="1" customWidth="1"/>
    <col min="12807" max="12807" width="11.42578125" style="8"/>
    <col min="12808" max="12808" width="24.140625" style="8" customWidth="1"/>
    <col min="12809" max="12810" width="11.42578125" style="8"/>
    <col min="12811" max="12811" width="17.140625" style="8" customWidth="1"/>
    <col min="12812" max="12812" width="11.42578125" style="8"/>
    <col min="12813" max="12813" width="30.28515625" style="8" customWidth="1"/>
    <col min="12814" max="13058" width="11.42578125" style="8"/>
    <col min="13059" max="13059" width="7.28515625" style="8" customWidth="1"/>
    <col min="13060" max="13060" width="37.7109375" style="8" customWidth="1"/>
    <col min="13061" max="13061" width="17.85546875" style="8" customWidth="1"/>
    <col min="13062" max="13062" width="12.28515625" style="8" bestFit="1" customWidth="1"/>
    <col min="13063" max="13063" width="11.42578125" style="8"/>
    <col min="13064" max="13064" width="24.140625" style="8" customWidth="1"/>
    <col min="13065" max="13066" width="11.42578125" style="8"/>
    <col min="13067" max="13067" width="17.140625" style="8" customWidth="1"/>
    <col min="13068" max="13068" width="11.42578125" style="8"/>
    <col min="13069" max="13069" width="30.28515625" style="8" customWidth="1"/>
    <col min="13070" max="13314" width="11.42578125" style="8"/>
    <col min="13315" max="13315" width="7.28515625" style="8" customWidth="1"/>
    <col min="13316" max="13316" width="37.7109375" style="8" customWidth="1"/>
    <col min="13317" max="13317" width="17.85546875" style="8" customWidth="1"/>
    <col min="13318" max="13318" width="12.28515625" style="8" bestFit="1" customWidth="1"/>
    <col min="13319" max="13319" width="11.42578125" style="8"/>
    <col min="13320" max="13320" width="24.140625" style="8" customWidth="1"/>
    <col min="13321" max="13322" width="11.42578125" style="8"/>
    <col min="13323" max="13323" width="17.140625" style="8" customWidth="1"/>
    <col min="13324" max="13324" width="11.42578125" style="8"/>
    <col min="13325" max="13325" width="30.28515625" style="8" customWidth="1"/>
    <col min="13326" max="13570" width="11.42578125" style="8"/>
    <col min="13571" max="13571" width="7.28515625" style="8" customWidth="1"/>
    <col min="13572" max="13572" width="37.7109375" style="8" customWidth="1"/>
    <col min="13573" max="13573" width="17.85546875" style="8" customWidth="1"/>
    <col min="13574" max="13574" width="12.28515625" style="8" bestFit="1" customWidth="1"/>
    <col min="13575" max="13575" width="11.42578125" style="8"/>
    <col min="13576" max="13576" width="24.140625" style="8" customWidth="1"/>
    <col min="13577" max="13578" width="11.42578125" style="8"/>
    <col min="13579" max="13579" width="17.140625" style="8" customWidth="1"/>
    <col min="13580" max="13580" width="11.42578125" style="8"/>
    <col min="13581" max="13581" width="30.28515625" style="8" customWidth="1"/>
    <col min="13582" max="13826" width="11.42578125" style="8"/>
    <col min="13827" max="13827" width="7.28515625" style="8" customWidth="1"/>
    <col min="13828" max="13828" width="37.7109375" style="8" customWidth="1"/>
    <col min="13829" max="13829" width="17.85546875" style="8" customWidth="1"/>
    <col min="13830" max="13830" width="12.28515625" style="8" bestFit="1" customWidth="1"/>
    <col min="13831" max="13831" width="11.42578125" style="8"/>
    <col min="13832" max="13832" width="24.140625" style="8" customWidth="1"/>
    <col min="13833" max="13834" width="11.42578125" style="8"/>
    <col min="13835" max="13835" width="17.140625" style="8" customWidth="1"/>
    <col min="13836" max="13836" width="11.42578125" style="8"/>
    <col min="13837" max="13837" width="30.28515625" style="8" customWidth="1"/>
    <col min="13838" max="14082" width="11.42578125" style="8"/>
    <col min="14083" max="14083" width="7.28515625" style="8" customWidth="1"/>
    <col min="14084" max="14084" width="37.7109375" style="8" customWidth="1"/>
    <col min="14085" max="14085" width="17.85546875" style="8" customWidth="1"/>
    <col min="14086" max="14086" width="12.28515625" style="8" bestFit="1" customWidth="1"/>
    <col min="14087" max="14087" width="11.42578125" style="8"/>
    <col min="14088" max="14088" width="24.140625" style="8" customWidth="1"/>
    <col min="14089" max="14090" width="11.42578125" style="8"/>
    <col min="14091" max="14091" width="17.140625" style="8" customWidth="1"/>
    <col min="14092" max="14092" width="11.42578125" style="8"/>
    <col min="14093" max="14093" width="30.28515625" style="8" customWidth="1"/>
    <col min="14094" max="14338" width="11.42578125" style="8"/>
    <col min="14339" max="14339" width="7.28515625" style="8" customWidth="1"/>
    <col min="14340" max="14340" width="37.7109375" style="8" customWidth="1"/>
    <col min="14341" max="14341" width="17.85546875" style="8" customWidth="1"/>
    <col min="14342" max="14342" width="12.28515625" style="8" bestFit="1" customWidth="1"/>
    <col min="14343" max="14343" width="11.42578125" style="8"/>
    <col min="14344" max="14344" width="24.140625" style="8" customWidth="1"/>
    <col min="14345" max="14346" width="11.42578125" style="8"/>
    <col min="14347" max="14347" width="17.140625" style="8" customWidth="1"/>
    <col min="14348" max="14348" width="11.42578125" style="8"/>
    <col min="14349" max="14349" width="30.28515625" style="8" customWidth="1"/>
    <col min="14350" max="14594" width="11.42578125" style="8"/>
    <col min="14595" max="14595" width="7.28515625" style="8" customWidth="1"/>
    <col min="14596" max="14596" width="37.7109375" style="8" customWidth="1"/>
    <col min="14597" max="14597" width="17.85546875" style="8" customWidth="1"/>
    <col min="14598" max="14598" width="12.28515625" style="8" bestFit="1" customWidth="1"/>
    <col min="14599" max="14599" width="11.42578125" style="8"/>
    <col min="14600" max="14600" width="24.140625" style="8" customWidth="1"/>
    <col min="14601" max="14602" width="11.42578125" style="8"/>
    <col min="14603" max="14603" width="17.140625" style="8" customWidth="1"/>
    <col min="14604" max="14604" width="11.42578125" style="8"/>
    <col min="14605" max="14605" width="30.28515625" style="8" customWidth="1"/>
    <col min="14606" max="14850" width="11.42578125" style="8"/>
    <col min="14851" max="14851" width="7.28515625" style="8" customWidth="1"/>
    <col min="14852" max="14852" width="37.7109375" style="8" customWidth="1"/>
    <col min="14853" max="14853" width="17.85546875" style="8" customWidth="1"/>
    <col min="14854" max="14854" width="12.28515625" style="8" bestFit="1" customWidth="1"/>
    <col min="14855" max="14855" width="11.42578125" style="8"/>
    <col min="14856" max="14856" width="24.140625" style="8" customWidth="1"/>
    <col min="14857" max="14858" width="11.42578125" style="8"/>
    <col min="14859" max="14859" width="17.140625" style="8" customWidth="1"/>
    <col min="14860" max="14860" width="11.42578125" style="8"/>
    <col min="14861" max="14861" width="30.28515625" style="8" customWidth="1"/>
    <col min="14862" max="15106" width="11.42578125" style="8"/>
    <col min="15107" max="15107" width="7.28515625" style="8" customWidth="1"/>
    <col min="15108" max="15108" width="37.7109375" style="8" customWidth="1"/>
    <col min="15109" max="15109" width="17.85546875" style="8" customWidth="1"/>
    <col min="15110" max="15110" width="12.28515625" style="8" bestFit="1" customWidth="1"/>
    <col min="15111" max="15111" width="11.42578125" style="8"/>
    <col min="15112" max="15112" width="24.140625" style="8" customWidth="1"/>
    <col min="15113" max="15114" width="11.42578125" style="8"/>
    <col min="15115" max="15115" width="17.140625" style="8" customWidth="1"/>
    <col min="15116" max="15116" width="11.42578125" style="8"/>
    <col min="15117" max="15117" width="30.28515625" style="8" customWidth="1"/>
    <col min="15118" max="15362" width="11.42578125" style="8"/>
    <col min="15363" max="15363" width="7.28515625" style="8" customWidth="1"/>
    <col min="15364" max="15364" width="37.7109375" style="8" customWidth="1"/>
    <col min="15365" max="15365" width="17.85546875" style="8" customWidth="1"/>
    <col min="15366" max="15366" width="12.28515625" style="8" bestFit="1" customWidth="1"/>
    <col min="15367" max="15367" width="11.42578125" style="8"/>
    <col min="15368" max="15368" width="24.140625" style="8" customWidth="1"/>
    <col min="15369" max="15370" width="11.42578125" style="8"/>
    <col min="15371" max="15371" width="17.140625" style="8" customWidth="1"/>
    <col min="15372" max="15372" width="11.42578125" style="8"/>
    <col min="15373" max="15373" width="30.28515625" style="8" customWidth="1"/>
    <col min="15374" max="15618" width="11.42578125" style="8"/>
    <col min="15619" max="15619" width="7.28515625" style="8" customWidth="1"/>
    <col min="15620" max="15620" width="37.7109375" style="8" customWidth="1"/>
    <col min="15621" max="15621" width="17.85546875" style="8" customWidth="1"/>
    <col min="15622" max="15622" width="12.28515625" style="8" bestFit="1" customWidth="1"/>
    <col min="15623" max="15623" width="11.42578125" style="8"/>
    <col min="15624" max="15624" width="24.140625" style="8" customWidth="1"/>
    <col min="15625" max="15626" width="11.42578125" style="8"/>
    <col min="15627" max="15627" width="17.140625" style="8" customWidth="1"/>
    <col min="15628" max="15628" width="11.42578125" style="8"/>
    <col min="15629" max="15629" width="30.28515625" style="8" customWidth="1"/>
    <col min="15630" max="15874" width="11.42578125" style="8"/>
    <col min="15875" max="15875" width="7.28515625" style="8" customWidth="1"/>
    <col min="15876" max="15876" width="37.7109375" style="8" customWidth="1"/>
    <col min="15877" max="15877" width="17.85546875" style="8" customWidth="1"/>
    <col min="15878" max="15878" width="12.28515625" style="8" bestFit="1" customWidth="1"/>
    <col min="15879" max="15879" width="11.42578125" style="8"/>
    <col min="15880" max="15880" width="24.140625" style="8" customWidth="1"/>
    <col min="15881" max="15882" width="11.42578125" style="8"/>
    <col min="15883" max="15883" width="17.140625" style="8" customWidth="1"/>
    <col min="15884" max="15884" width="11.42578125" style="8"/>
    <col min="15885" max="15885" width="30.28515625" style="8" customWidth="1"/>
    <col min="15886" max="16130" width="11.42578125" style="8"/>
    <col min="16131" max="16131" width="7.28515625" style="8" customWidth="1"/>
    <col min="16132" max="16132" width="37.7109375" style="8" customWidth="1"/>
    <col min="16133" max="16133" width="17.85546875" style="8" customWidth="1"/>
    <col min="16134" max="16134" width="12.28515625" style="8" bestFit="1" customWidth="1"/>
    <col min="16135" max="16135" width="11.42578125" style="8"/>
    <col min="16136" max="16136" width="24.140625" style="8" customWidth="1"/>
    <col min="16137" max="16138" width="11.42578125" style="8"/>
    <col min="16139" max="16139" width="17.140625" style="8" customWidth="1"/>
    <col min="16140" max="16140" width="11.42578125" style="8"/>
    <col min="16141" max="16141" width="30.28515625" style="8" customWidth="1"/>
    <col min="16142" max="16384" width="11.42578125" style="8"/>
  </cols>
  <sheetData>
    <row r="1" spans="1:14" ht="15.75" x14ac:dyDescent="0.25">
      <c r="C1" s="63" t="s">
        <v>45</v>
      </c>
    </row>
    <row r="2" spans="1:14" x14ac:dyDescent="0.2">
      <c r="C2" s="412" t="s">
        <v>245</v>
      </c>
    </row>
    <row r="3" spans="1:14" x14ac:dyDescent="0.2">
      <c r="C3" s="315" t="s">
        <v>42</v>
      </c>
    </row>
    <row r="4" spans="1:14" x14ac:dyDescent="0.2">
      <c r="C4" s="316" t="s">
        <v>50</v>
      </c>
    </row>
    <row r="5" spans="1:14" x14ac:dyDescent="0.2">
      <c r="C5" s="317" t="s">
        <v>58</v>
      </c>
    </row>
    <row r="6" spans="1:14" x14ac:dyDescent="0.2">
      <c r="C6" s="413" t="s">
        <v>246</v>
      </c>
    </row>
    <row r="7" spans="1:14" x14ac:dyDescent="0.2">
      <c r="C7" s="318" t="s">
        <v>59</v>
      </c>
    </row>
    <row r="8" spans="1:14" x14ac:dyDescent="0.2">
      <c r="C8" s="319" t="s">
        <v>34</v>
      </c>
    </row>
    <row r="9" spans="1:14" x14ac:dyDescent="0.2">
      <c r="C9" s="320" t="s">
        <v>51</v>
      </c>
    </row>
    <row r="10" spans="1:14" x14ac:dyDescent="0.2">
      <c r="C10" s="321" t="s">
        <v>60</v>
      </c>
    </row>
    <row r="11" spans="1:14" ht="33.75" customHeight="1" x14ac:dyDescent="0.25">
      <c r="A11" s="164" t="s">
        <v>271</v>
      </c>
      <c r="B11" s="416" t="s">
        <v>52</v>
      </c>
      <c r="C11" s="51"/>
      <c r="D11" s="2"/>
      <c r="E11" s="2"/>
      <c r="F11" s="11"/>
      <c r="G11" s="164" t="s">
        <v>53</v>
      </c>
      <c r="H11" s="334" t="s">
        <v>54</v>
      </c>
    </row>
    <row r="12" spans="1:14" ht="19.5" customHeight="1" x14ac:dyDescent="0.25">
      <c r="A12" s="434"/>
      <c r="B12" s="21"/>
      <c r="C12" s="435" t="s">
        <v>230</v>
      </c>
      <c r="D12" s="337"/>
      <c r="E12" s="338"/>
      <c r="F12" s="339"/>
      <c r="G12" s="401"/>
      <c r="H12" s="339"/>
      <c r="J12" s="33"/>
      <c r="K12" s="33"/>
      <c r="L12" s="33"/>
      <c r="M12" s="33"/>
      <c r="N12" s="33"/>
    </row>
    <row r="13" spans="1:14" ht="15" customHeight="1" x14ac:dyDescent="0.25">
      <c r="A13" s="434"/>
      <c r="B13" s="417"/>
      <c r="C13" s="333" t="s">
        <v>48</v>
      </c>
      <c r="D13" s="6"/>
      <c r="E13" s="335"/>
      <c r="F13" s="5"/>
      <c r="G13" s="402"/>
      <c r="H13" s="322"/>
      <c r="J13" s="33"/>
      <c r="K13" s="33"/>
      <c r="L13" s="33"/>
      <c r="M13" s="33"/>
      <c r="N13" s="33"/>
    </row>
    <row r="14" spans="1:14" ht="15" x14ac:dyDescent="0.25">
      <c r="A14" s="434"/>
      <c r="B14" s="418"/>
      <c r="C14" s="31" t="s">
        <v>41</v>
      </c>
      <c r="D14" s="34"/>
      <c r="E14" s="371">
        <v>2.8</v>
      </c>
      <c r="F14" s="32" t="s">
        <v>1</v>
      </c>
      <c r="G14" s="464">
        <v>2.8</v>
      </c>
      <c r="H14" s="340">
        <f t="shared" ref="H14:H66" si="0">G14-E14</f>
        <v>0</v>
      </c>
      <c r="J14" s="33"/>
      <c r="K14" s="33"/>
      <c r="L14" s="33"/>
      <c r="M14" s="33"/>
      <c r="N14" s="33"/>
    </row>
    <row r="15" spans="1:14" ht="15" x14ac:dyDescent="0.25">
      <c r="A15" s="434"/>
      <c r="B15" s="418"/>
      <c r="C15" s="29"/>
      <c r="D15" s="22"/>
      <c r="E15" s="46">
        <f>86.4*E14</f>
        <v>241.92</v>
      </c>
      <c r="F15" s="30" t="s">
        <v>0</v>
      </c>
      <c r="G15" s="341">
        <f>86.4*G14</f>
        <v>241.92</v>
      </c>
      <c r="H15" s="340">
        <f t="shared" si="0"/>
        <v>0</v>
      </c>
      <c r="J15" s="33"/>
      <c r="K15" s="33"/>
      <c r="L15" s="33"/>
      <c r="M15" s="33"/>
      <c r="N15" s="33"/>
    </row>
    <row r="16" spans="1:14" ht="15" x14ac:dyDescent="0.25">
      <c r="A16" s="434"/>
      <c r="B16" s="419" t="s">
        <v>120</v>
      </c>
      <c r="C16" s="31" t="s">
        <v>40</v>
      </c>
      <c r="D16" s="34"/>
      <c r="E16" s="46">
        <v>220</v>
      </c>
      <c r="F16" s="32" t="s">
        <v>7</v>
      </c>
      <c r="G16" s="341">
        <v>220</v>
      </c>
      <c r="H16" s="340">
        <f t="shared" si="0"/>
        <v>0</v>
      </c>
      <c r="J16" s="33"/>
      <c r="K16" s="33"/>
      <c r="L16" s="33"/>
      <c r="M16" s="33"/>
      <c r="N16" s="33"/>
    </row>
    <row r="17" spans="1:14" ht="15" x14ac:dyDescent="0.25">
      <c r="A17" s="434"/>
      <c r="B17" s="419"/>
      <c r="C17" s="167" t="s">
        <v>46</v>
      </c>
      <c r="D17" s="168"/>
      <c r="E17" s="170">
        <f>E15*E16/1000</f>
        <v>53.222399999999993</v>
      </c>
      <c r="F17" s="169" t="s">
        <v>47</v>
      </c>
      <c r="G17" s="342">
        <f>G15*G16/1000</f>
        <v>53.222399999999993</v>
      </c>
      <c r="H17" s="340">
        <f t="shared" si="0"/>
        <v>0</v>
      </c>
      <c r="J17" s="33"/>
      <c r="K17" s="33"/>
      <c r="L17" s="33"/>
      <c r="M17" s="33"/>
      <c r="N17" s="33"/>
    </row>
    <row r="18" spans="1:14" ht="15" x14ac:dyDescent="0.25">
      <c r="A18" s="434"/>
      <c r="B18" s="419" t="s">
        <v>120</v>
      </c>
      <c r="C18" s="31" t="s">
        <v>27</v>
      </c>
      <c r="D18" s="34"/>
      <c r="E18" s="46">
        <v>40</v>
      </c>
      <c r="F18" s="32" t="s">
        <v>7</v>
      </c>
      <c r="G18" s="341">
        <v>40</v>
      </c>
      <c r="H18" s="340">
        <f t="shared" si="0"/>
        <v>0</v>
      </c>
      <c r="J18" s="33"/>
      <c r="K18" s="33"/>
      <c r="L18" s="33"/>
      <c r="M18" s="33"/>
      <c r="N18" s="33"/>
    </row>
    <row r="19" spans="1:14" ht="15" x14ac:dyDescent="0.25">
      <c r="A19" s="434"/>
      <c r="B19" s="418"/>
      <c r="C19" s="167" t="s">
        <v>205</v>
      </c>
      <c r="D19" s="168"/>
      <c r="E19" s="170">
        <f>0.001*E14*E18*86.4</f>
        <v>9.6768000000000001</v>
      </c>
      <c r="F19" s="169" t="s">
        <v>206</v>
      </c>
      <c r="G19" s="342">
        <f>0.001*G14*G18*86.4</f>
        <v>9.6768000000000001</v>
      </c>
      <c r="H19" s="340">
        <f t="shared" si="0"/>
        <v>0</v>
      </c>
      <c r="J19" s="33"/>
      <c r="K19" s="33"/>
      <c r="L19" s="33"/>
      <c r="M19" s="33"/>
      <c r="N19" s="33"/>
    </row>
    <row r="20" spans="1:14" ht="15" x14ac:dyDescent="0.25">
      <c r="A20" s="434"/>
      <c r="B20" s="418"/>
      <c r="C20" s="31" t="s">
        <v>125</v>
      </c>
      <c r="D20" s="34"/>
      <c r="E20" s="163">
        <v>8</v>
      </c>
      <c r="F20" s="32" t="s">
        <v>7</v>
      </c>
      <c r="G20" s="341">
        <v>8</v>
      </c>
      <c r="H20" s="340">
        <f t="shared" si="0"/>
        <v>0</v>
      </c>
      <c r="J20" s="33"/>
      <c r="K20" s="33"/>
      <c r="L20" s="33"/>
      <c r="M20" s="33"/>
      <c r="N20" s="33"/>
    </row>
    <row r="21" spans="1:14" ht="15" x14ac:dyDescent="0.25">
      <c r="A21" s="434"/>
      <c r="B21" s="418"/>
      <c r="C21" s="167" t="s">
        <v>157</v>
      </c>
      <c r="D21" s="168"/>
      <c r="E21" s="170">
        <f>0.001*E14*E20*86.4</f>
        <v>1.9353600000000002</v>
      </c>
      <c r="F21" s="169" t="s">
        <v>126</v>
      </c>
      <c r="G21" s="342">
        <f>0.001*G14*G20*86.4</f>
        <v>1.9353600000000002</v>
      </c>
      <c r="H21" s="340">
        <f t="shared" si="0"/>
        <v>0</v>
      </c>
      <c r="J21" s="33"/>
      <c r="K21" s="33"/>
      <c r="L21" s="33"/>
      <c r="M21" s="33"/>
      <c r="N21" s="33"/>
    </row>
    <row r="22" spans="1:14" ht="15" customHeight="1" x14ac:dyDescent="0.25">
      <c r="A22" s="434"/>
      <c r="B22" s="420" t="s">
        <v>380</v>
      </c>
      <c r="C22" s="293" t="s">
        <v>243</v>
      </c>
      <c r="D22" s="294"/>
      <c r="E22" s="295">
        <v>0.8</v>
      </c>
      <c r="F22" s="296"/>
      <c r="G22" s="343">
        <v>0.8</v>
      </c>
      <c r="H22" s="340">
        <f t="shared" si="0"/>
        <v>0</v>
      </c>
      <c r="J22" s="33"/>
      <c r="K22" s="33"/>
      <c r="L22" s="33"/>
      <c r="M22" s="33"/>
      <c r="N22" s="33"/>
    </row>
    <row r="23" spans="1:14" ht="15" customHeight="1" x14ac:dyDescent="0.25">
      <c r="A23" s="434"/>
      <c r="B23" s="421"/>
      <c r="C23" s="329" t="s">
        <v>282</v>
      </c>
      <c r="D23" s="110"/>
      <c r="E23" s="111"/>
      <c r="F23" s="322"/>
      <c r="G23" s="335"/>
      <c r="H23" s="336"/>
      <c r="J23" s="33"/>
      <c r="K23" s="33"/>
      <c r="L23" s="33"/>
      <c r="M23" s="33"/>
      <c r="N23" s="33"/>
    </row>
    <row r="24" spans="1:14" ht="15" customHeight="1" x14ac:dyDescent="0.25">
      <c r="A24" s="434"/>
      <c r="B24" s="422" t="s">
        <v>84</v>
      </c>
      <c r="C24" s="145" t="s">
        <v>43</v>
      </c>
      <c r="D24" s="146"/>
      <c r="E24" s="147">
        <v>3.8</v>
      </c>
      <c r="F24" s="148" t="s">
        <v>5</v>
      </c>
      <c r="G24" s="39">
        <v>3.8</v>
      </c>
      <c r="H24" s="340">
        <f t="shared" si="0"/>
        <v>0</v>
      </c>
      <c r="J24" s="33"/>
      <c r="K24" s="33"/>
      <c r="L24" s="33"/>
      <c r="M24" s="33"/>
      <c r="N24" s="33"/>
    </row>
    <row r="25" spans="1:14" ht="15" customHeight="1" x14ac:dyDescent="0.25">
      <c r="A25" s="434"/>
      <c r="B25" s="422" t="s">
        <v>84</v>
      </c>
      <c r="C25" s="145" t="s">
        <v>28</v>
      </c>
      <c r="D25" s="146"/>
      <c r="E25" s="147">
        <v>7</v>
      </c>
      <c r="F25" s="148" t="s">
        <v>5</v>
      </c>
      <c r="G25" s="39">
        <v>7</v>
      </c>
      <c r="H25" s="340">
        <f t="shared" si="0"/>
        <v>0</v>
      </c>
      <c r="J25" s="33"/>
      <c r="K25" s="33"/>
      <c r="L25" s="33"/>
      <c r="M25" s="33"/>
      <c r="N25" s="33"/>
    </row>
    <row r="26" spans="1:14" ht="15" customHeight="1" x14ac:dyDescent="0.25">
      <c r="A26" s="434"/>
      <c r="B26" s="421"/>
      <c r="C26" s="3" t="s">
        <v>86</v>
      </c>
      <c r="D26" s="92"/>
      <c r="E26" s="23">
        <f>E24*E25</f>
        <v>26.599999999999998</v>
      </c>
      <c r="F26" s="7" t="s">
        <v>4</v>
      </c>
      <c r="G26" s="23">
        <f>G24*G25</f>
        <v>26.599999999999998</v>
      </c>
      <c r="H26" s="340">
        <f t="shared" si="0"/>
        <v>0</v>
      </c>
      <c r="J26" s="33"/>
      <c r="K26" s="33"/>
      <c r="L26" s="33"/>
      <c r="M26" s="33"/>
      <c r="N26" s="33"/>
    </row>
    <row r="27" spans="1:14" ht="15" customHeight="1" x14ac:dyDescent="0.25">
      <c r="A27" s="434"/>
      <c r="B27" s="421"/>
      <c r="C27" s="3" t="s">
        <v>232</v>
      </c>
      <c r="D27" s="92"/>
      <c r="E27" s="23">
        <f>E70/E26</f>
        <v>0.37894736842105264</v>
      </c>
      <c r="F27" s="7" t="s">
        <v>5</v>
      </c>
      <c r="G27" s="23">
        <f>G70/G26</f>
        <v>0.37894736842105264</v>
      </c>
      <c r="H27" s="340">
        <f t="shared" si="0"/>
        <v>0</v>
      </c>
      <c r="J27" s="33"/>
      <c r="K27" s="33"/>
      <c r="L27" s="33"/>
      <c r="M27" s="33"/>
      <c r="N27" s="33"/>
    </row>
    <row r="28" spans="1:14" ht="15" customHeight="1" x14ac:dyDescent="0.25">
      <c r="A28" s="434"/>
      <c r="B28" s="422" t="s">
        <v>84</v>
      </c>
      <c r="C28" s="97" t="s">
        <v>87</v>
      </c>
      <c r="D28" s="291"/>
      <c r="E28" s="162">
        <v>3.2</v>
      </c>
      <c r="F28" s="100" t="s">
        <v>5</v>
      </c>
      <c r="G28" s="23">
        <v>3.2</v>
      </c>
      <c r="H28" s="340">
        <f t="shared" si="0"/>
        <v>0</v>
      </c>
      <c r="J28" s="33"/>
      <c r="K28" s="33"/>
      <c r="L28" s="33"/>
      <c r="M28" s="33"/>
      <c r="N28" s="33"/>
    </row>
    <row r="29" spans="1:14" ht="15" customHeight="1" x14ac:dyDescent="0.25">
      <c r="A29" s="434"/>
      <c r="B29" s="422" t="s">
        <v>84</v>
      </c>
      <c r="C29" s="97" t="s">
        <v>233</v>
      </c>
      <c r="D29" s="291"/>
      <c r="E29" s="297">
        <v>0.25</v>
      </c>
      <c r="F29" s="100"/>
      <c r="G29" s="343">
        <v>0.25</v>
      </c>
      <c r="H29" s="340">
        <f t="shared" si="0"/>
        <v>0</v>
      </c>
      <c r="J29" s="33"/>
      <c r="K29" s="33"/>
      <c r="L29" s="33"/>
      <c r="M29" s="33"/>
      <c r="N29" s="33"/>
    </row>
    <row r="30" spans="1:14" ht="15" customHeight="1" x14ac:dyDescent="0.25">
      <c r="A30" s="434"/>
      <c r="B30" s="422"/>
      <c r="C30" s="3" t="s">
        <v>88</v>
      </c>
      <c r="D30" s="92"/>
      <c r="E30" s="299">
        <f>E29*E15</f>
        <v>60.48</v>
      </c>
      <c r="F30" s="5" t="s">
        <v>3</v>
      </c>
      <c r="G30" s="23">
        <f>G29*G15</f>
        <v>60.48</v>
      </c>
      <c r="H30" s="340">
        <f t="shared" si="0"/>
        <v>0</v>
      </c>
      <c r="J30" s="33"/>
      <c r="K30" s="33"/>
      <c r="L30" s="33"/>
      <c r="M30" s="33"/>
      <c r="N30" s="33"/>
    </row>
    <row r="31" spans="1:14" ht="15" customHeight="1" x14ac:dyDescent="0.25">
      <c r="A31" s="434"/>
      <c r="B31" s="421"/>
      <c r="C31" s="3" t="s">
        <v>234</v>
      </c>
      <c r="D31" s="8"/>
      <c r="E31" s="298">
        <f>E30/E26</f>
        <v>2.2736842105263158</v>
      </c>
      <c r="F31" s="5" t="s">
        <v>5</v>
      </c>
      <c r="G31" s="23">
        <f>G30/G26</f>
        <v>2.2736842105263158</v>
      </c>
      <c r="H31" s="340">
        <f t="shared" si="0"/>
        <v>0</v>
      </c>
      <c r="J31" s="33"/>
      <c r="K31" s="33"/>
      <c r="L31" s="33"/>
      <c r="M31" s="33"/>
      <c r="N31" s="33"/>
    </row>
    <row r="32" spans="1:14" ht="15" customHeight="1" x14ac:dyDescent="0.25">
      <c r="A32" s="434"/>
      <c r="B32" s="423" t="s">
        <v>236</v>
      </c>
      <c r="C32" s="81" t="s">
        <v>235</v>
      </c>
      <c r="D32" s="159"/>
      <c r="E32" s="28">
        <f>'Tubería de Llenado'!E9</f>
        <v>1.1973929140127388</v>
      </c>
      <c r="F32" s="300" t="s">
        <v>11</v>
      </c>
      <c r="G32" s="400">
        <f>'Tubería de Llenado'!E9</f>
        <v>1.1973929140127388</v>
      </c>
      <c r="H32" s="340">
        <f t="shared" si="0"/>
        <v>0</v>
      </c>
      <c r="J32" s="33"/>
      <c r="K32" s="33"/>
      <c r="L32" s="33"/>
      <c r="M32" s="33"/>
      <c r="N32" s="33"/>
    </row>
    <row r="33" spans="1:14" ht="15" customHeight="1" x14ac:dyDescent="0.25">
      <c r="A33" s="434"/>
      <c r="B33" s="423"/>
      <c r="C33" s="301"/>
      <c r="D33" s="302"/>
      <c r="E33" s="303">
        <f>E32/0.305</f>
        <v>3.9258784065991437</v>
      </c>
      <c r="F33" s="202" t="s">
        <v>237</v>
      </c>
      <c r="G33" s="303">
        <f>G32/0.305</f>
        <v>3.9258784065991437</v>
      </c>
      <c r="H33" s="340">
        <f t="shared" si="0"/>
        <v>0</v>
      </c>
      <c r="J33" s="33"/>
      <c r="K33" s="33"/>
      <c r="L33" s="33"/>
      <c r="M33" s="33"/>
      <c r="N33" s="33"/>
    </row>
    <row r="34" spans="1:14" ht="15" customHeight="1" x14ac:dyDescent="0.25">
      <c r="A34" s="434"/>
      <c r="B34" s="423" t="s">
        <v>240</v>
      </c>
      <c r="C34" s="130" t="s">
        <v>288</v>
      </c>
      <c r="D34" s="304"/>
      <c r="E34" s="305">
        <v>3.4</v>
      </c>
      <c r="F34" s="306" t="s">
        <v>239</v>
      </c>
      <c r="G34" s="400">
        <v>3.4</v>
      </c>
      <c r="H34" s="340">
        <f t="shared" si="0"/>
        <v>0</v>
      </c>
      <c r="J34" s="33"/>
      <c r="K34" s="33"/>
      <c r="L34" s="33"/>
      <c r="M34" s="33"/>
      <c r="N34" s="33"/>
    </row>
    <row r="35" spans="1:14" ht="15" customHeight="1" x14ac:dyDescent="0.25">
      <c r="A35" s="434"/>
      <c r="B35" s="423"/>
      <c r="C35" s="307"/>
      <c r="D35" s="308"/>
      <c r="E35" s="309">
        <f>E34*0.305</f>
        <v>1.0369999999999999</v>
      </c>
      <c r="F35" s="310" t="s">
        <v>5</v>
      </c>
      <c r="G35" s="303">
        <f>G34*0.305</f>
        <v>1.0369999999999999</v>
      </c>
      <c r="H35" s="340">
        <f t="shared" si="0"/>
        <v>0</v>
      </c>
      <c r="J35" s="33"/>
      <c r="K35" s="33"/>
      <c r="L35" s="33"/>
      <c r="M35" s="33"/>
      <c r="N35" s="33"/>
    </row>
    <row r="36" spans="1:14" ht="15" customHeight="1" x14ac:dyDescent="0.25">
      <c r="A36" s="434"/>
      <c r="B36" s="424" t="s">
        <v>103</v>
      </c>
      <c r="C36" s="3" t="s">
        <v>379</v>
      </c>
      <c r="D36" s="92"/>
      <c r="E36" s="23">
        <v>0.15</v>
      </c>
      <c r="F36" s="7" t="s">
        <v>5</v>
      </c>
      <c r="G36" s="23">
        <v>0.15</v>
      </c>
      <c r="H36" s="340">
        <f t="shared" si="0"/>
        <v>0</v>
      </c>
      <c r="J36" s="33"/>
      <c r="K36" s="33"/>
      <c r="L36" s="33"/>
      <c r="M36" s="33"/>
      <c r="N36" s="33"/>
    </row>
    <row r="37" spans="1:14" ht="15" customHeight="1" x14ac:dyDescent="0.25">
      <c r="A37" s="434"/>
      <c r="B37" s="423"/>
      <c r="C37" s="78" t="s">
        <v>238</v>
      </c>
      <c r="D37" s="93" t="str">
        <f>IF(E37&lt;E35,"insuficiente","suficiente")</f>
        <v>suficiente</v>
      </c>
      <c r="E37" s="94">
        <f>E35+E36</f>
        <v>1.1869999999999998</v>
      </c>
      <c r="F37" s="117" t="s">
        <v>5</v>
      </c>
      <c r="G37" s="23">
        <f>G35+G36</f>
        <v>1.1869999999999998</v>
      </c>
      <c r="H37" s="340">
        <f t="shared" si="0"/>
        <v>0</v>
      </c>
      <c r="J37" s="33"/>
      <c r="K37" s="33"/>
      <c r="L37" s="33"/>
      <c r="M37" s="33"/>
      <c r="N37" s="33"/>
    </row>
    <row r="38" spans="1:14" ht="15" customHeight="1" x14ac:dyDescent="0.25">
      <c r="A38" s="434"/>
      <c r="B38" s="425"/>
      <c r="C38" s="330" t="s">
        <v>134</v>
      </c>
      <c r="D38" s="15"/>
      <c r="E38" s="323"/>
      <c r="F38" s="324"/>
      <c r="G38" s="335"/>
      <c r="H38" s="336"/>
      <c r="J38" s="33"/>
      <c r="K38" s="33"/>
      <c r="L38" s="33"/>
      <c r="M38" s="33"/>
      <c r="N38" s="33"/>
    </row>
    <row r="39" spans="1:14" ht="15" customHeight="1" x14ac:dyDescent="0.25">
      <c r="A39" s="434"/>
      <c r="B39" s="424" t="s">
        <v>103</v>
      </c>
      <c r="C39" s="13" t="s">
        <v>43</v>
      </c>
      <c r="D39" s="166"/>
      <c r="E39" s="26">
        <v>2.8</v>
      </c>
      <c r="F39" s="290" t="s">
        <v>5</v>
      </c>
      <c r="G39" s="17">
        <v>2.8</v>
      </c>
      <c r="H39" s="340">
        <f t="shared" si="0"/>
        <v>0</v>
      </c>
      <c r="J39" s="33"/>
      <c r="K39" s="33"/>
      <c r="L39" s="33"/>
      <c r="M39" s="33"/>
      <c r="N39" s="33"/>
    </row>
    <row r="40" spans="1:14" ht="15" customHeight="1" x14ac:dyDescent="0.25">
      <c r="A40" s="434"/>
      <c r="B40" s="424" t="s">
        <v>103</v>
      </c>
      <c r="C40" s="13" t="s">
        <v>28</v>
      </c>
      <c r="D40" s="166"/>
      <c r="E40" s="26">
        <v>10</v>
      </c>
      <c r="F40" s="290" t="s">
        <v>5</v>
      </c>
      <c r="G40" s="17">
        <v>10</v>
      </c>
      <c r="H40" s="340">
        <f t="shared" si="0"/>
        <v>0</v>
      </c>
      <c r="J40" s="33"/>
      <c r="K40" s="33"/>
      <c r="L40" s="33"/>
      <c r="M40" s="33"/>
      <c r="N40" s="33"/>
    </row>
    <row r="41" spans="1:14" ht="15" customHeight="1" x14ac:dyDescent="0.25">
      <c r="A41" s="434"/>
      <c r="B41" s="425"/>
      <c r="C41" s="78" t="s">
        <v>30</v>
      </c>
      <c r="D41" s="116"/>
      <c r="E41" s="94">
        <f>E40*E39</f>
        <v>28</v>
      </c>
      <c r="F41" s="126" t="s">
        <v>4</v>
      </c>
      <c r="G41" s="23">
        <f>G40*G39</f>
        <v>28</v>
      </c>
      <c r="H41" s="340">
        <f t="shared" si="0"/>
        <v>0</v>
      </c>
      <c r="J41" s="33"/>
      <c r="K41" s="33"/>
      <c r="L41" s="33"/>
      <c r="M41" s="33"/>
      <c r="N41" s="33"/>
    </row>
    <row r="42" spans="1:14" ht="15" customHeight="1" x14ac:dyDescent="0.25">
      <c r="A42" s="434"/>
      <c r="B42" s="424" t="s">
        <v>103</v>
      </c>
      <c r="C42" s="13" t="s">
        <v>22</v>
      </c>
      <c r="D42" s="181"/>
      <c r="E42" s="26">
        <v>1.8</v>
      </c>
      <c r="F42" s="290" t="s">
        <v>5</v>
      </c>
      <c r="G42" s="17">
        <v>1.8</v>
      </c>
      <c r="H42" s="340">
        <f t="shared" si="0"/>
        <v>0</v>
      </c>
      <c r="J42" s="33"/>
      <c r="K42" s="33"/>
      <c r="L42" s="33"/>
      <c r="M42" s="33"/>
      <c r="N42" s="33"/>
    </row>
    <row r="43" spans="1:14" ht="15" customHeight="1" x14ac:dyDescent="0.25">
      <c r="A43" s="434"/>
      <c r="B43" s="425"/>
      <c r="C43" s="182" t="s">
        <v>31</v>
      </c>
      <c r="D43" s="4"/>
      <c r="E43" s="17">
        <f>E41*E42</f>
        <v>50.4</v>
      </c>
      <c r="F43" s="5" t="s">
        <v>3</v>
      </c>
      <c r="G43" s="17">
        <f>G41*G42</f>
        <v>50.4</v>
      </c>
      <c r="H43" s="340">
        <f t="shared" si="0"/>
        <v>0</v>
      </c>
      <c r="J43" s="33"/>
      <c r="K43" s="33"/>
      <c r="L43" s="33"/>
      <c r="M43" s="33"/>
      <c r="N43" s="33"/>
    </row>
    <row r="44" spans="1:14" ht="15" customHeight="1" x14ac:dyDescent="0.25">
      <c r="A44" s="434"/>
      <c r="B44" s="423"/>
      <c r="C44" s="331" t="s">
        <v>378</v>
      </c>
      <c r="D44" s="8"/>
      <c r="F44" s="325"/>
      <c r="G44" s="335"/>
      <c r="H44" s="336"/>
      <c r="J44" s="33"/>
      <c r="K44" s="33"/>
      <c r="L44" s="33"/>
      <c r="M44" s="33"/>
      <c r="N44" s="33"/>
    </row>
    <row r="45" spans="1:14" ht="15" customHeight="1" x14ac:dyDescent="0.25">
      <c r="A45" s="434"/>
      <c r="B45" s="426" t="s">
        <v>84</v>
      </c>
      <c r="C45" s="145" t="s">
        <v>136</v>
      </c>
      <c r="D45" s="229" t="s">
        <v>156</v>
      </c>
      <c r="E45" s="194">
        <f>0.0254/2</f>
        <v>1.2699999999999999E-2</v>
      </c>
      <c r="F45" s="148" t="s">
        <v>5</v>
      </c>
      <c r="G45" s="344">
        <f>0.0254/2</f>
        <v>1.2699999999999999E-2</v>
      </c>
      <c r="H45" s="340">
        <f t="shared" si="0"/>
        <v>0</v>
      </c>
      <c r="J45" s="33"/>
      <c r="K45" s="33"/>
      <c r="L45" s="33"/>
      <c r="M45" s="33"/>
      <c r="N45" s="33"/>
    </row>
    <row r="46" spans="1:14" ht="15" customHeight="1" x14ac:dyDescent="0.25">
      <c r="A46" s="434"/>
      <c r="B46" s="423"/>
      <c r="C46" s="81" t="s">
        <v>200</v>
      </c>
      <c r="D46" s="27"/>
      <c r="E46" s="192">
        <f>0.25*3.143*E45^2</f>
        <v>1.2673361749999999E-4</v>
      </c>
      <c r="F46" s="82" t="s">
        <v>4</v>
      </c>
      <c r="G46" s="192">
        <f>0.25*3.143*G45^2</f>
        <v>1.2673361749999999E-4</v>
      </c>
      <c r="H46" s="340">
        <f t="shared" si="0"/>
        <v>0</v>
      </c>
      <c r="J46" s="33"/>
      <c r="K46" s="33"/>
      <c r="L46" s="33"/>
      <c r="M46" s="33"/>
      <c r="N46" s="33"/>
    </row>
    <row r="47" spans="1:14" ht="15" customHeight="1" x14ac:dyDescent="0.25">
      <c r="A47" s="434"/>
      <c r="B47" s="426" t="s">
        <v>84</v>
      </c>
      <c r="C47" s="145" t="s">
        <v>138</v>
      </c>
      <c r="D47" s="146"/>
      <c r="E47" s="147">
        <v>1.5</v>
      </c>
      <c r="F47" s="148" t="s">
        <v>11</v>
      </c>
      <c r="G47" s="39">
        <v>1.5</v>
      </c>
      <c r="H47" s="340">
        <f t="shared" si="0"/>
        <v>0</v>
      </c>
      <c r="J47" s="33"/>
      <c r="K47" s="33"/>
      <c r="L47" s="33"/>
      <c r="M47" s="33"/>
      <c r="N47" s="33"/>
    </row>
    <row r="48" spans="1:14" ht="15" customHeight="1" x14ac:dyDescent="0.25">
      <c r="A48" s="434"/>
      <c r="B48" s="426"/>
      <c r="C48" s="41" t="s">
        <v>35</v>
      </c>
      <c r="D48" s="42" t="s">
        <v>29</v>
      </c>
      <c r="E48" s="43">
        <v>0.57999999999999996</v>
      </c>
      <c r="F48" s="44"/>
      <c r="G48" s="345">
        <v>0.57999999999999996</v>
      </c>
      <c r="H48" s="340">
        <f t="shared" si="0"/>
        <v>0</v>
      </c>
      <c r="J48" s="33"/>
      <c r="K48" s="33"/>
      <c r="L48" s="33"/>
      <c r="M48" s="33"/>
      <c r="N48" s="33"/>
    </row>
    <row r="49" spans="1:14" ht="15" customHeight="1" x14ac:dyDescent="0.25">
      <c r="A49" s="434"/>
      <c r="B49" s="423"/>
      <c r="C49" s="81" t="s">
        <v>141</v>
      </c>
      <c r="D49" s="27"/>
      <c r="E49" s="193">
        <f>E48*1000*E47*E46</f>
        <v>0.11025824722499999</v>
      </c>
      <c r="F49" s="82" t="s">
        <v>1</v>
      </c>
      <c r="G49" s="193">
        <f>G48*1000*G47*G46</f>
        <v>0.11025824722499999</v>
      </c>
      <c r="H49" s="340">
        <f t="shared" si="0"/>
        <v>0</v>
      </c>
      <c r="J49" s="33"/>
      <c r="K49" s="33"/>
      <c r="L49" s="33"/>
      <c r="M49" s="33"/>
      <c r="N49" s="33"/>
    </row>
    <row r="50" spans="1:14" ht="15" customHeight="1" x14ac:dyDescent="0.25">
      <c r="A50" s="434"/>
      <c r="B50" s="424" t="s">
        <v>103</v>
      </c>
      <c r="C50" s="240" t="s">
        <v>204</v>
      </c>
      <c r="D50" s="241"/>
      <c r="E50" s="414">
        <f>0.6+3*0.5</f>
        <v>2.1</v>
      </c>
      <c r="F50" s="243"/>
      <c r="G50" s="193">
        <f>0.6+3*0.5</f>
        <v>2.1</v>
      </c>
      <c r="H50" s="340">
        <f t="shared" si="0"/>
        <v>0</v>
      </c>
      <c r="J50" s="33"/>
      <c r="K50" s="33"/>
      <c r="L50" s="33"/>
      <c r="M50" s="33"/>
      <c r="N50" s="33"/>
    </row>
    <row r="51" spans="1:14" ht="15" customHeight="1" x14ac:dyDescent="0.25">
      <c r="A51" s="434"/>
      <c r="B51" s="423"/>
      <c r="C51" s="81" t="s">
        <v>6</v>
      </c>
      <c r="D51" s="27"/>
      <c r="E51" s="193">
        <f>E50-E42</f>
        <v>0.30000000000000004</v>
      </c>
      <c r="F51" s="82" t="s">
        <v>5</v>
      </c>
      <c r="G51" s="193">
        <f>G50-G42</f>
        <v>0.30000000000000004</v>
      </c>
      <c r="H51" s="340">
        <f t="shared" si="0"/>
        <v>0</v>
      </c>
      <c r="J51" s="33"/>
      <c r="K51" s="33"/>
      <c r="L51" s="33"/>
      <c r="M51" s="33"/>
      <c r="N51" s="33"/>
    </row>
    <row r="52" spans="1:14" ht="15" customHeight="1" x14ac:dyDescent="0.25">
      <c r="A52" s="434"/>
      <c r="B52" s="423"/>
      <c r="C52" s="112" t="s">
        <v>32</v>
      </c>
      <c r="D52" s="271" t="str">
        <f>IF(1.2*E52&lt;E51,"cumple","hay rebose hacia lecho")</f>
        <v>cumple</v>
      </c>
      <c r="E52" s="237">
        <f>E47^2/19.6</f>
        <v>0.11479591836734693</v>
      </c>
      <c r="F52" s="113" t="s">
        <v>5</v>
      </c>
      <c r="G52" s="160">
        <f>G47^2/19.6</f>
        <v>0.11479591836734693</v>
      </c>
      <c r="H52" s="340">
        <f t="shared" si="0"/>
        <v>0</v>
      </c>
      <c r="J52" s="33"/>
      <c r="K52" s="33"/>
      <c r="L52" s="33"/>
      <c r="M52" s="33"/>
      <c r="N52" s="33"/>
    </row>
    <row r="53" spans="1:14" ht="15" customHeight="1" x14ac:dyDescent="0.25">
      <c r="A53" s="434"/>
      <c r="B53" s="423"/>
      <c r="C53" s="189" t="s">
        <v>44</v>
      </c>
      <c r="D53" s="118"/>
      <c r="E53" s="190">
        <v>2</v>
      </c>
      <c r="F53" s="191" t="s">
        <v>21</v>
      </c>
      <c r="G53" s="480">
        <v>2</v>
      </c>
      <c r="H53" s="340">
        <f>G53-E53</f>
        <v>0</v>
      </c>
      <c r="J53" s="33"/>
      <c r="K53" s="33"/>
      <c r="L53" s="33"/>
      <c r="M53" s="33"/>
      <c r="N53" s="33"/>
    </row>
    <row r="54" spans="1:14" ht="15" customHeight="1" x14ac:dyDescent="0.25">
      <c r="A54" s="434"/>
      <c r="B54" s="423" t="s">
        <v>103</v>
      </c>
      <c r="C54" s="189" t="s">
        <v>198</v>
      </c>
      <c r="D54" s="118"/>
      <c r="E54" s="479">
        <v>4.4000000000000004</v>
      </c>
      <c r="F54" s="191" t="s">
        <v>5</v>
      </c>
      <c r="G54" s="193">
        <v>4.4000000000000004</v>
      </c>
      <c r="H54" s="340">
        <f>G54-E54</f>
        <v>0</v>
      </c>
      <c r="J54" s="33"/>
      <c r="K54" s="33"/>
      <c r="L54" s="33"/>
      <c r="M54" s="33"/>
      <c r="N54" s="33"/>
    </row>
    <row r="55" spans="1:14" ht="15" customHeight="1" x14ac:dyDescent="0.25">
      <c r="A55" s="434"/>
      <c r="B55" s="423"/>
      <c r="C55" s="268" t="s">
        <v>199</v>
      </c>
      <c r="D55" s="241"/>
      <c r="E55" s="162">
        <v>0.2</v>
      </c>
      <c r="F55" s="269" t="s">
        <v>5</v>
      </c>
      <c r="G55" s="481">
        <v>0.2</v>
      </c>
      <c r="H55" s="340">
        <f>G55-E55</f>
        <v>0</v>
      </c>
      <c r="J55" s="33"/>
      <c r="K55" s="33"/>
      <c r="L55" s="33"/>
      <c r="M55" s="33"/>
      <c r="N55" s="33"/>
    </row>
    <row r="56" spans="1:14" ht="15" customHeight="1" x14ac:dyDescent="0.25">
      <c r="A56" s="434"/>
      <c r="B56" s="423"/>
      <c r="C56" s="203" t="s">
        <v>341</v>
      </c>
      <c r="D56" s="20"/>
      <c r="E56" s="129">
        <f>INT(E54/E55)</f>
        <v>22</v>
      </c>
      <c r="F56" s="270" t="s">
        <v>21</v>
      </c>
      <c r="G56" s="129">
        <f>INT(G54/G55)</f>
        <v>22</v>
      </c>
      <c r="H56" s="340">
        <f t="shared" si="0"/>
        <v>0</v>
      </c>
      <c r="J56" s="33"/>
      <c r="K56" s="33"/>
      <c r="L56" s="33"/>
      <c r="M56" s="33"/>
      <c r="N56" s="33"/>
    </row>
    <row r="57" spans="1:14" ht="15" customHeight="1" x14ac:dyDescent="0.25">
      <c r="A57" s="434"/>
      <c r="B57" s="423"/>
      <c r="C57" s="81" t="s">
        <v>139</v>
      </c>
      <c r="D57" s="27"/>
      <c r="E57" s="129">
        <f>2*E53*E56</f>
        <v>88</v>
      </c>
      <c r="F57" s="82" t="s">
        <v>21</v>
      </c>
      <c r="G57" s="129">
        <f>2*G53*G56</f>
        <v>88</v>
      </c>
      <c r="H57" s="340">
        <f t="shared" si="0"/>
        <v>0</v>
      </c>
      <c r="J57" s="33"/>
      <c r="K57" s="33"/>
      <c r="L57" s="33"/>
      <c r="M57" s="33"/>
      <c r="N57" s="33"/>
    </row>
    <row r="58" spans="1:14" ht="15" customHeight="1" x14ac:dyDescent="0.25">
      <c r="A58" s="434"/>
      <c r="B58" s="423"/>
      <c r="C58" s="105" t="s">
        <v>140</v>
      </c>
      <c r="D58" s="106"/>
      <c r="E58" s="138">
        <f>E57*E49</f>
        <v>9.7027257557999995</v>
      </c>
      <c r="F58" s="136" t="s">
        <v>1</v>
      </c>
      <c r="G58" s="62">
        <f>G57*G49</f>
        <v>9.7027257557999995</v>
      </c>
      <c r="H58" s="340">
        <f t="shared" si="0"/>
        <v>0</v>
      </c>
      <c r="J58" s="33"/>
      <c r="K58" s="33"/>
      <c r="L58" s="33"/>
      <c r="M58" s="33"/>
      <c r="N58" s="33"/>
    </row>
    <row r="59" spans="1:14" ht="15" customHeight="1" x14ac:dyDescent="0.25">
      <c r="A59" s="434"/>
      <c r="B59" s="425"/>
      <c r="C59" s="187" t="s">
        <v>23</v>
      </c>
      <c r="D59" s="93"/>
      <c r="E59" s="188">
        <f>E43/(0.001*E58*3600)</f>
        <v>1.4428935076961458</v>
      </c>
      <c r="F59" s="219" t="s">
        <v>9</v>
      </c>
      <c r="G59" s="62">
        <f>G43/(0.001*G58*3600)</f>
        <v>1.4428935076961458</v>
      </c>
      <c r="H59" s="340">
        <f t="shared" si="0"/>
        <v>0</v>
      </c>
      <c r="J59" s="33"/>
      <c r="K59" s="33"/>
      <c r="L59" s="33"/>
      <c r="M59" s="33"/>
      <c r="N59" s="33"/>
    </row>
    <row r="60" spans="1:14" ht="15" customHeight="1" x14ac:dyDescent="0.25">
      <c r="A60" s="434"/>
      <c r="B60" s="423" t="s">
        <v>161</v>
      </c>
      <c r="C60" s="152" t="s">
        <v>160</v>
      </c>
      <c r="D60" s="102"/>
      <c r="E60" s="62">
        <f>'Tubería de Llenado'!E3</f>
        <v>0.66639654943441062</v>
      </c>
      <c r="F60" s="76" t="s">
        <v>5</v>
      </c>
      <c r="G60" s="62">
        <f>'Tubería de Llenado'!E3</f>
        <v>0.66639654943441062</v>
      </c>
      <c r="H60" s="340">
        <f t="shared" si="0"/>
        <v>0</v>
      </c>
      <c r="J60" s="33"/>
      <c r="K60" s="33"/>
      <c r="L60" s="33"/>
      <c r="M60" s="33"/>
      <c r="N60" s="33"/>
    </row>
    <row r="61" spans="1:14" ht="15" customHeight="1" x14ac:dyDescent="0.25">
      <c r="A61" s="434"/>
      <c r="B61" s="424" t="s">
        <v>103</v>
      </c>
      <c r="C61" s="152" t="s">
        <v>162</v>
      </c>
      <c r="D61" s="102"/>
      <c r="E61" s="62">
        <v>3.2</v>
      </c>
      <c r="F61" s="76" t="s">
        <v>5</v>
      </c>
      <c r="G61" s="62">
        <v>3.2</v>
      </c>
      <c r="H61" s="340">
        <f t="shared" si="0"/>
        <v>0</v>
      </c>
      <c r="J61" s="33"/>
      <c r="K61" s="33"/>
      <c r="L61" s="33"/>
      <c r="M61" s="33"/>
      <c r="N61" s="33"/>
    </row>
    <row r="62" spans="1:14" ht="15" customHeight="1" x14ac:dyDescent="0.25">
      <c r="A62" s="434"/>
      <c r="B62" s="422"/>
      <c r="C62" s="105" t="s">
        <v>158</v>
      </c>
      <c r="D62" s="106"/>
      <c r="E62" s="138">
        <f>E61+E60</f>
        <v>3.8663965494344108</v>
      </c>
      <c r="F62" s="136" t="s">
        <v>5</v>
      </c>
      <c r="G62" s="62">
        <f>G61+G60</f>
        <v>3.8663965494344108</v>
      </c>
      <c r="H62" s="340">
        <f t="shared" si="0"/>
        <v>0</v>
      </c>
      <c r="J62" s="33"/>
      <c r="K62" s="33"/>
      <c r="L62" s="33"/>
      <c r="M62" s="33"/>
      <c r="N62" s="33"/>
    </row>
    <row r="63" spans="1:14" ht="15" customHeight="1" x14ac:dyDescent="0.25">
      <c r="A63" s="434"/>
      <c r="B63" s="424" t="s">
        <v>185</v>
      </c>
      <c r="C63" s="124" t="s">
        <v>26</v>
      </c>
      <c r="D63" s="221"/>
      <c r="E63" s="222">
        <v>0.7</v>
      </c>
      <c r="F63" s="125"/>
      <c r="G63" s="346">
        <v>0.7</v>
      </c>
      <c r="H63" s="340">
        <f t="shared" si="0"/>
        <v>0</v>
      </c>
      <c r="J63" s="33" t="s">
        <v>346</v>
      </c>
      <c r="K63" s="33"/>
      <c r="L63" s="33"/>
      <c r="M63" s="33"/>
      <c r="N63" s="33"/>
    </row>
    <row r="64" spans="1:14" ht="15" customHeight="1" x14ac:dyDescent="0.25">
      <c r="A64" s="434"/>
      <c r="B64" s="422"/>
      <c r="C64" s="105" t="s">
        <v>164</v>
      </c>
      <c r="D64" s="106"/>
      <c r="E64" s="138">
        <f>9.81*0.001*E58*E62/E63</f>
        <v>0.52574011800098819</v>
      </c>
      <c r="F64" s="136" t="s">
        <v>20</v>
      </c>
      <c r="G64" s="62">
        <f>9.81*0.001*G58*G62/G63</f>
        <v>0.52574011800098819</v>
      </c>
      <c r="H64" s="340">
        <f t="shared" si="0"/>
        <v>0</v>
      </c>
      <c r="J64" s="33"/>
      <c r="K64" s="33"/>
      <c r="L64" s="33"/>
      <c r="M64" s="33"/>
      <c r="N64" s="33"/>
    </row>
    <row r="65" spans="1:14" ht="15" customHeight="1" x14ac:dyDescent="0.25">
      <c r="A65" s="434"/>
      <c r="B65" s="422"/>
      <c r="C65" s="112" t="s">
        <v>186</v>
      </c>
      <c r="D65" s="255"/>
      <c r="E65" s="256">
        <f>E74*E69*365/60</f>
        <v>2527.9494254836477</v>
      </c>
      <c r="F65" s="113" t="s">
        <v>9</v>
      </c>
      <c r="G65" s="129">
        <f>G74*G69*365/60</f>
        <v>2527.9494254836477</v>
      </c>
      <c r="H65" s="340">
        <f t="shared" si="0"/>
        <v>0</v>
      </c>
      <c r="J65" s="33"/>
      <c r="K65" s="33"/>
      <c r="L65" s="33"/>
      <c r="M65" s="33"/>
      <c r="N65" s="33"/>
    </row>
    <row r="66" spans="1:14" ht="15" customHeight="1" x14ac:dyDescent="0.25">
      <c r="A66" s="434"/>
      <c r="B66" s="422"/>
      <c r="C66" s="112" t="s">
        <v>183</v>
      </c>
      <c r="D66" s="255"/>
      <c r="E66" s="256">
        <f>E64*E65</f>
        <v>1329.0444292543032</v>
      </c>
      <c r="F66" s="113" t="s">
        <v>163</v>
      </c>
      <c r="G66" s="129">
        <f>G64*G65</f>
        <v>1329.0444292543032</v>
      </c>
      <c r="H66" s="340">
        <f t="shared" si="0"/>
        <v>0</v>
      </c>
      <c r="J66" s="33"/>
      <c r="K66" s="33"/>
      <c r="L66" s="33"/>
      <c r="M66" s="33"/>
      <c r="N66" s="33"/>
    </row>
    <row r="67" spans="1:14" ht="15" customHeight="1" x14ac:dyDescent="0.25">
      <c r="A67" s="434"/>
      <c r="B67" s="425"/>
      <c r="C67" s="332" t="s">
        <v>2</v>
      </c>
      <c r="D67" s="6"/>
      <c r="E67" s="45"/>
      <c r="F67" s="326"/>
      <c r="G67" s="335"/>
      <c r="H67" s="336"/>
      <c r="J67" s="33"/>
      <c r="K67" s="33"/>
      <c r="L67" s="33"/>
      <c r="M67" s="33"/>
      <c r="N67" s="33"/>
    </row>
    <row r="68" spans="1:14" ht="15" customHeight="1" x14ac:dyDescent="0.25">
      <c r="A68" s="434"/>
      <c r="B68" s="426" t="s">
        <v>84</v>
      </c>
      <c r="C68" s="114" t="s">
        <v>128</v>
      </c>
      <c r="D68" s="441"/>
      <c r="E68" s="451">
        <v>60</v>
      </c>
      <c r="F68" s="211" t="s">
        <v>24</v>
      </c>
      <c r="G68" s="45">
        <v>60</v>
      </c>
      <c r="H68" s="340">
        <f t="shared" ref="H68:H138" si="1">G68-E68</f>
        <v>0</v>
      </c>
      <c r="J68" s="33"/>
      <c r="K68" s="33"/>
      <c r="L68" s="33"/>
      <c r="M68" s="33"/>
      <c r="N68" s="33"/>
    </row>
    <row r="69" spans="1:14" ht="15" customHeight="1" x14ac:dyDescent="0.25">
      <c r="A69" s="434"/>
      <c r="B69" s="426"/>
      <c r="C69" s="108" t="s">
        <v>293</v>
      </c>
      <c r="D69" s="285"/>
      <c r="E69" s="452">
        <f>60*24/E68</f>
        <v>24</v>
      </c>
      <c r="F69" s="126" t="s">
        <v>133</v>
      </c>
      <c r="G69" s="277">
        <f>60*24/G68</f>
        <v>24</v>
      </c>
      <c r="H69" s="340">
        <f t="shared" si="1"/>
        <v>0</v>
      </c>
      <c r="J69" s="33"/>
      <c r="K69" s="33"/>
      <c r="L69" s="33"/>
      <c r="M69" s="33"/>
      <c r="N69" s="33"/>
    </row>
    <row r="70" spans="1:14" ht="15" x14ac:dyDescent="0.25">
      <c r="A70" s="434"/>
      <c r="B70" s="426"/>
      <c r="C70" s="64" t="s">
        <v>289</v>
      </c>
      <c r="D70" s="216"/>
      <c r="E70" s="91">
        <f>60*E14*E68/1000</f>
        <v>10.08</v>
      </c>
      <c r="F70" s="84" t="s">
        <v>121</v>
      </c>
      <c r="G70" s="39">
        <f>60*G14*G68/1000</f>
        <v>10.08</v>
      </c>
      <c r="H70" s="340">
        <f t="shared" si="1"/>
        <v>0</v>
      </c>
      <c r="J70" s="33"/>
      <c r="K70" s="33"/>
      <c r="L70" s="33"/>
      <c r="M70" s="33"/>
      <c r="N70" s="33"/>
    </row>
    <row r="71" spans="1:14" ht="18" x14ac:dyDescent="0.4">
      <c r="A71" s="434"/>
      <c r="B71" s="425"/>
      <c r="C71" s="64" t="s">
        <v>154</v>
      </c>
      <c r="D71" s="216" t="s">
        <v>85</v>
      </c>
      <c r="E71" s="91">
        <f>E70/E41</f>
        <v>0.36</v>
      </c>
      <c r="F71" s="84" t="s">
        <v>5</v>
      </c>
      <c r="G71" s="39">
        <f>G70/G41</f>
        <v>0.36</v>
      </c>
      <c r="H71" s="340">
        <f t="shared" si="1"/>
        <v>0</v>
      </c>
      <c r="J71" s="33"/>
      <c r="K71" s="33"/>
      <c r="L71" s="33"/>
      <c r="M71" s="33"/>
      <c r="N71" s="33"/>
    </row>
    <row r="72" spans="1:14" ht="15" x14ac:dyDescent="0.25">
      <c r="A72" s="434"/>
      <c r="B72" s="422"/>
      <c r="C72" s="101" t="s">
        <v>129</v>
      </c>
      <c r="D72" s="133"/>
      <c r="E72" s="415" t="s">
        <v>135</v>
      </c>
      <c r="F72" s="12"/>
      <c r="G72" s="347" t="s">
        <v>135</v>
      </c>
      <c r="H72" s="340"/>
      <c r="J72" s="33"/>
      <c r="K72" s="33"/>
      <c r="L72" s="33"/>
      <c r="M72" s="33"/>
      <c r="N72" s="33"/>
    </row>
    <row r="73" spans="1:14" ht="15" x14ac:dyDescent="0.25">
      <c r="A73" s="434"/>
      <c r="B73" s="423" t="s">
        <v>304</v>
      </c>
      <c r="C73" s="101" t="s">
        <v>39</v>
      </c>
      <c r="D73" s="460"/>
      <c r="E73" s="463">
        <f>'Lecho de Secado'!E26</f>
        <v>39.285714285714292</v>
      </c>
      <c r="F73" s="5" t="s">
        <v>130</v>
      </c>
      <c r="G73" s="463">
        <f>'Lecho de Secado'!G26</f>
        <v>39.285714285714292</v>
      </c>
      <c r="H73" s="340">
        <f t="shared" si="1"/>
        <v>0</v>
      </c>
      <c r="N73" s="33"/>
    </row>
    <row r="74" spans="1:14" ht="15" x14ac:dyDescent="0.25">
      <c r="A74" s="434"/>
      <c r="B74" s="423"/>
      <c r="C74" s="108" t="s">
        <v>336</v>
      </c>
      <c r="D74" s="286" t="str">
        <f>IF(E74&lt;E75,"adecuado","excesivo")</f>
        <v>adecuado</v>
      </c>
      <c r="E74" s="94">
        <f>1000*E70/(E58*60)</f>
        <v>17.314722092353751</v>
      </c>
      <c r="F74" s="80" t="s">
        <v>24</v>
      </c>
      <c r="G74" s="23">
        <f>1000*G70/(G58*60)</f>
        <v>17.314722092353751</v>
      </c>
      <c r="H74" s="340">
        <f t="shared" si="1"/>
        <v>0</v>
      </c>
      <c r="N74" s="33"/>
    </row>
    <row r="75" spans="1:14" ht="15" x14ac:dyDescent="0.25">
      <c r="A75" s="434"/>
      <c r="B75" s="423" t="s">
        <v>380</v>
      </c>
      <c r="C75" s="114" t="s">
        <v>221</v>
      </c>
      <c r="D75" s="185">
        <f>E75/E68</f>
        <v>0.33333333333333331</v>
      </c>
      <c r="E75" s="99">
        <v>20</v>
      </c>
      <c r="F75" s="100" t="s">
        <v>24</v>
      </c>
      <c r="G75" s="45">
        <v>20</v>
      </c>
      <c r="H75" s="340">
        <f t="shared" si="1"/>
        <v>0</v>
      </c>
      <c r="N75" s="33"/>
    </row>
    <row r="76" spans="1:14" ht="15" x14ac:dyDescent="0.25">
      <c r="A76" s="434"/>
      <c r="B76" s="423"/>
      <c r="C76" s="108" t="s">
        <v>202</v>
      </c>
      <c r="D76" s="183">
        <f>E76/E68</f>
        <v>4.5818181818181807E-2</v>
      </c>
      <c r="E76" s="79">
        <f>E42*60/E73</f>
        <v>2.7490909090909086</v>
      </c>
      <c r="F76" s="80" t="s">
        <v>24</v>
      </c>
      <c r="G76" s="17">
        <f>G42*60/G73</f>
        <v>2.7490909090909086</v>
      </c>
      <c r="H76" s="340">
        <f t="shared" si="1"/>
        <v>0</v>
      </c>
      <c r="N76" s="33"/>
    </row>
    <row r="77" spans="1:14" ht="15" x14ac:dyDescent="0.25">
      <c r="A77" s="434"/>
      <c r="B77" s="327" t="s">
        <v>362</v>
      </c>
      <c r="C77" s="506" t="s">
        <v>356</v>
      </c>
      <c r="D77" s="27"/>
      <c r="E77" s="23">
        <f>'Tubería de Lodos'!E5</f>
        <v>6.9583372420464933</v>
      </c>
      <c r="F77" s="507" t="s">
        <v>1</v>
      </c>
      <c r="G77" s="39">
        <f>'Tubería de Lodos'!G5</f>
        <v>6.9583372420464933</v>
      </c>
      <c r="H77" s="340">
        <f>G77-E77</f>
        <v>0</v>
      </c>
      <c r="N77" s="33"/>
    </row>
    <row r="78" spans="1:14" ht="15" x14ac:dyDescent="0.25">
      <c r="A78" s="434"/>
      <c r="B78" s="423"/>
      <c r="C78" s="101" t="s">
        <v>335</v>
      </c>
      <c r="D78" s="284">
        <f>E78/E68</f>
        <v>0.40239498354300823</v>
      </c>
      <c r="E78" s="23">
        <f>1000*E70/(E77*60)</f>
        <v>24.143699012580495</v>
      </c>
      <c r="F78" s="12" t="s">
        <v>24</v>
      </c>
      <c r="G78" s="23">
        <f>1000*G70/(G77*60)</f>
        <v>24.143699012580495</v>
      </c>
      <c r="H78" s="340">
        <f t="shared" si="1"/>
        <v>0</v>
      </c>
      <c r="N78" s="33"/>
    </row>
    <row r="79" spans="1:14" ht="15" x14ac:dyDescent="0.25">
      <c r="A79" s="434"/>
      <c r="B79" s="423" t="s">
        <v>381</v>
      </c>
      <c r="C79" s="101" t="s">
        <v>220</v>
      </c>
      <c r="D79" s="184"/>
      <c r="E79" s="23" t="s">
        <v>131</v>
      </c>
      <c r="F79" s="5" t="s">
        <v>24</v>
      </c>
      <c r="G79" s="23" t="s">
        <v>131</v>
      </c>
      <c r="H79" s="340"/>
      <c r="N79" s="33"/>
    </row>
    <row r="80" spans="1:14" ht="15" x14ac:dyDescent="0.25">
      <c r="A80" s="434"/>
      <c r="B80" s="423"/>
      <c r="C80" s="108" t="s">
        <v>219</v>
      </c>
      <c r="D80" s="286" t="str">
        <f>IF(E80&lt;30,"insufiicente",IF(E80&lt;60,"adecuado","excesivo"))</f>
        <v>adecuado</v>
      </c>
      <c r="E80" s="79">
        <f>E75+E78</f>
        <v>44.143699012580498</v>
      </c>
      <c r="F80" s="80" t="s">
        <v>24</v>
      </c>
      <c r="G80" s="17">
        <f>G75+G78</f>
        <v>44.143699012580498</v>
      </c>
      <c r="H80" s="340">
        <f t="shared" si="1"/>
        <v>0</v>
      </c>
      <c r="N80" s="33"/>
    </row>
    <row r="81" spans="1:14" ht="15" x14ac:dyDescent="0.25">
      <c r="A81" s="434"/>
      <c r="B81" s="425"/>
      <c r="C81" s="108" t="s">
        <v>203</v>
      </c>
      <c r="D81" s="183">
        <f>E81/E68</f>
        <v>0.78154649869452342</v>
      </c>
      <c r="E81" s="94">
        <f>E76+E80</f>
        <v>46.892789921671408</v>
      </c>
      <c r="F81" s="126" t="s">
        <v>24</v>
      </c>
      <c r="G81" s="23">
        <f>G76+G80</f>
        <v>46.892789921671408</v>
      </c>
      <c r="H81" s="340">
        <f t="shared" si="1"/>
        <v>0</v>
      </c>
      <c r="N81" s="33"/>
    </row>
    <row r="82" spans="1:14" ht="15" x14ac:dyDescent="0.25">
      <c r="A82" s="434"/>
      <c r="B82" s="425"/>
      <c r="C82" s="101" t="s">
        <v>132</v>
      </c>
      <c r="D82" s="102" t="str">
        <f>IF(E82&lt;0,"falta tiempo en ciclo","suficiente")</f>
        <v>suficiente</v>
      </c>
      <c r="E82" s="23">
        <f>E68-E81</f>
        <v>13.107210078328592</v>
      </c>
      <c r="F82" s="103" t="s">
        <v>24</v>
      </c>
      <c r="G82" s="23">
        <f>G68-G81</f>
        <v>13.107210078328592</v>
      </c>
      <c r="H82" s="340">
        <f t="shared" si="1"/>
        <v>0</v>
      </c>
      <c r="N82" s="33"/>
    </row>
    <row r="83" spans="1:14" ht="15" x14ac:dyDescent="0.25">
      <c r="A83" s="434"/>
      <c r="B83" s="424" t="s">
        <v>382</v>
      </c>
      <c r="C83" s="112" t="s">
        <v>276</v>
      </c>
      <c r="D83" s="255"/>
      <c r="E83" s="256">
        <v>80</v>
      </c>
      <c r="F83" s="113" t="s">
        <v>275</v>
      </c>
      <c r="G83" s="45">
        <v>80</v>
      </c>
      <c r="H83" s="340">
        <f t="shared" ref="H83:H84" si="2">G83-E83</f>
        <v>0</v>
      </c>
      <c r="N83" s="33"/>
    </row>
    <row r="84" spans="1:14" ht="15" x14ac:dyDescent="0.25">
      <c r="A84" s="434"/>
      <c r="B84" s="425"/>
      <c r="C84" s="101" t="s">
        <v>274</v>
      </c>
      <c r="D84" s="102" t="str">
        <f>IF(E84&lt;E83,"cumple","no cumple")</f>
        <v>cumple</v>
      </c>
      <c r="E84" s="23">
        <f>E15/(D75*E41)</f>
        <v>25.92</v>
      </c>
      <c r="F84" s="103" t="s">
        <v>275</v>
      </c>
      <c r="G84" s="23">
        <f>G15/(D75*G41)</f>
        <v>25.92</v>
      </c>
      <c r="H84" s="340">
        <f t="shared" si="2"/>
        <v>0</v>
      </c>
      <c r="N84" s="33"/>
    </row>
    <row r="85" spans="1:14" ht="15" x14ac:dyDescent="0.25">
      <c r="A85" s="434"/>
      <c r="B85" s="423"/>
      <c r="C85" s="331" t="s">
        <v>124</v>
      </c>
      <c r="D85" s="8"/>
      <c r="F85" s="325"/>
      <c r="G85" s="335"/>
      <c r="H85" s="336"/>
    </row>
    <row r="86" spans="1:14" ht="15" customHeight="1" x14ac:dyDescent="0.2">
      <c r="A86" s="434"/>
      <c r="B86" s="423" t="s">
        <v>92</v>
      </c>
      <c r="C86" s="124" t="s">
        <v>173</v>
      </c>
      <c r="D86" s="213"/>
      <c r="E86" s="212">
        <v>0.9</v>
      </c>
      <c r="F86" s="125"/>
      <c r="G86" s="348">
        <v>0.9</v>
      </c>
      <c r="H86" s="340">
        <f t="shared" si="1"/>
        <v>0</v>
      </c>
    </row>
    <row r="87" spans="1:14" ht="15" customHeight="1" x14ac:dyDescent="0.2">
      <c r="A87" s="434"/>
      <c r="B87" s="423" t="s">
        <v>405</v>
      </c>
      <c r="C87" s="130" t="s">
        <v>170</v>
      </c>
      <c r="D87" s="131"/>
      <c r="E87" s="236">
        <v>11</v>
      </c>
      <c r="F87" s="132"/>
      <c r="G87" s="129">
        <v>11</v>
      </c>
      <c r="H87" s="340">
        <f t="shared" si="1"/>
        <v>0</v>
      </c>
    </row>
    <row r="88" spans="1:14" ht="15" customHeight="1" x14ac:dyDescent="0.2">
      <c r="A88" s="434"/>
      <c r="B88" s="423"/>
      <c r="C88" s="240" t="s">
        <v>177</v>
      </c>
      <c r="D88" s="241"/>
      <c r="E88" s="242">
        <v>100</v>
      </c>
      <c r="F88" s="243" t="s">
        <v>178</v>
      </c>
      <c r="G88" s="129">
        <v>100</v>
      </c>
      <c r="H88" s="340">
        <f t="shared" si="1"/>
        <v>0</v>
      </c>
    </row>
    <row r="89" spans="1:14" ht="15" customHeight="1" x14ac:dyDescent="0.2">
      <c r="A89" s="434"/>
      <c r="B89" s="424" t="s">
        <v>389</v>
      </c>
      <c r="C89" s="442" t="s">
        <v>388</v>
      </c>
      <c r="D89" s="443"/>
      <c r="E89" s="444">
        <v>270</v>
      </c>
      <c r="F89" s="445" t="s">
        <v>7</v>
      </c>
      <c r="G89" s="534">
        <v>270</v>
      </c>
      <c r="H89" s="340">
        <f t="shared" si="1"/>
        <v>0</v>
      </c>
    </row>
    <row r="90" spans="1:14" ht="15" customHeight="1" x14ac:dyDescent="0.2">
      <c r="A90" s="434"/>
      <c r="B90" s="422" t="s">
        <v>197</v>
      </c>
      <c r="C90" s="446" t="s">
        <v>196</v>
      </c>
      <c r="D90" s="241"/>
      <c r="E90" s="447">
        <v>270</v>
      </c>
      <c r="F90" s="448" t="s">
        <v>7</v>
      </c>
      <c r="G90" s="129">
        <v>270</v>
      </c>
      <c r="H90" s="340">
        <f t="shared" si="1"/>
        <v>0</v>
      </c>
    </row>
    <row r="91" spans="1:14" ht="15" customHeight="1" x14ac:dyDescent="0.2">
      <c r="A91" s="434"/>
      <c r="B91" s="428"/>
      <c r="C91" s="449" t="s">
        <v>394</v>
      </c>
      <c r="D91" s="450"/>
      <c r="E91" s="272">
        <f>E90*E70/(E86*1000)</f>
        <v>3.024</v>
      </c>
      <c r="F91" s="126" t="s">
        <v>179</v>
      </c>
      <c r="G91" s="62">
        <f>G90*G70/(G86*1000)</f>
        <v>3.024</v>
      </c>
      <c r="H91" s="340">
        <f t="shared" si="1"/>
        <v>0</v>
      </c>
    </row>
    <row r="92" spans="1:14" ht="15" x14ac:dyDescent="0.25">
      <c r="A92" s="434"/>
      <c r="B92" s="427" t="s">
        <v>383</v>
      </c>
      <c r="C92" s="18" t="s">
        <v>169</v>
      </c>
      <c r="D92" s="16"/>
      <c r="E92" s="228">
        <v>2.58</v>
      </c>
      <c r="F92" s="59"/>
      <c r="G92" s="349">
        <v>2.58</v>
      </c>
      <c r="H92" s="340">
        <f t="shared" si="1"/>
        <v>0</v>
      </c>
    </row>
    <row r="93" spans="1:14" x14ac:dyDescent="0.2">
      <c r="A93" s="434"/>
      <c r="B93" s="427" t="s">
        <v>384</v>
      </c>
      <c r="C93" s="274" t="s">
        <v>127</v>
      </c>
      <c r="D93" s="276" t="s">
        <v>171</v>
      </c>
      <c r="E93" s="212">
        <v>1</v>
      </c>
      <c r="F93" s="275"/>
      <c r="G93" s="348">
        <v>1</v>
      </c>
      <c r="H93" s="340">
        <f t="shared" si="1"/>
        <v>0</v>
      </c>
    </row>
    <row r="94" spans="1:14" x14ac:dyDescent="0.2">
      <c r="A94" s="434"/>
      <c r="B94" s="423"/>
      <c r="C94" s="112" t="s">
        <v>176</v>
      </c>
      <c r="D94" s="109"/>
      <c r="E94" s="237">
        <f>E92*E21*E68/(E93*60*24)</f>
        <v>0.20805120000000005</v>
      </c>
      <c r="F94" s="113" t="s">
        <v>179</v>
      </c>
      <c r="G94" s="160">
        <f>G92*G21*G68/(G93*60*24)</f>
        <v>0.20805120000000005</v>
      </c>
      <c r="H94" s="340">
        <f t="shared" si="1"/>
        <v>0</v>
      </c>
    </row>
    <row r="95" spans="1:14" x14ac:dyDescent="0.2">
      <c r="A95" s="434"/>
      <c r="B95" s="423"/>
      <c r="C95" s="234" t="s">
        <v>403</v>
      </c>
      <c r="D95" s="235"/>
      <c r="E95" s="245">
        <f>E91+E94</f>
        <v>3.2320511999999999</v>
      </c>
      <c r="F95" s="107" t="s">
        <v>179</v>
      </c>
      <c r="G95" s="436">
        <f>G91+G94</f>
        <v>3.2320511999999999</v>
      </c>
      <c r="H95" s="340">
        <f t="shared" si="1"/>
        <v>0</v>
      </c>
    </row>
    <row r="96" spans="1:14" x14ac:dyDescent="0.2">
      <c r="A96" s="434"/>
      <c r="B96" s="423"/>
      <c r="C96" s="246"/>
      <c r="D96" s="542"/>
      <c r="E96" s="543">
        <f>E95*60*24/E68</f>
        <v>77.569228799999991</v>
      </c>
      <c r="F96" s="247" t="s">
        <v>277</v>
      </c>
      <c r="G96" s="462">
        <f>G95*60*24/G68</f>
        <v>77.569228799999991</v>
      </c>
      <c r="H96" s="340">
        <f>G96-E96</f>
        <v>0</v>
      </c>
    </row>
    <row r="97" spans="1:8" x14ac:dyDescent="0.2">
      <c r="A97" s="434"/>
      <c r="B97" s="422"/>
      <c r="C97" s="217" t="s">
        <v>278</v>
      </c>
      <c r="D97" s="544"/>
      <c r="E97" s="545">
        <f>1000*E96/E15</f>
        <v>320.64</v>
      </c>
      <c r="F97" s="84" t="s">
        <v>279</v>
      </c>
      <c r="G97" s="134">
        <f>1000*G96/G15</f>
        <v>320.64</v>
      </c>
      <c r="H97" s="340">
        <f>G97-E97</f>
        <v>0</v>
      </c>
    </row>
    <row r="98" spans="1:8" x14ac:dyDescent="0.2">
      <c r="A98" s="434"/>
      <c r="B98" s="426" t="s">
        <v>84</v>
      </c>
      <c r="C98" s="97" t="s">
        <v>290</v>
      </c>
      <c r="D98" s="291"/>
      <c r="E98" s="451">
        <v>7</v>
      </c>
      <c r="F98" s="473" t="s">
        <v>213</v>
      </c>
      <c r="G98" s="277">
        <f>'Lecho de Secado'!G32</f>
        <v>7</v>
      </c>
      <c r="H98" s="340">
        <f t="shared" ref="H98:H102" si="3">G98-E98</f>
        <v>0</v>
      </c>
    </row>
    <row r="99" spans="1:8" x14ac:dyDescent="0.2">
      <c r="A99" s="434"/>
      <c r="B99" s="422"/>
      <c r="C99" s="101" t="s">
        <v>311</v>
      </c>
      <c r="D99" s="92"/>
      <c r="E99" s="526">
        <f>E98*E96</f>
        <v>542.98460159999991</v>
      </c>
      <c r="F99" s="270" t="s">
        <v>308</v>
      </c>
      <c r="G99" s="129">
        <f>G98*G96</f>
        <v>542.98460159999991</v>
      </c>
      <c r="H99" s="340">
        <f t="shared" si="3"/>
        <v>0</v>
      </c>
    </row>
    <row r="100" spans="1:8" x14ac:dyDescent="0.2">
      <c r="A100" s="434"/>
      <c r="B100" s="422"/>
      <c r="C100" s="3" t="s">
        <v>292</v>
      </c>
      <c r="D100" s="92"/>
      <c r="E100" s="23">
        <f>'Lecho de Secado'!E8</f>
        <v>2.976</v>
      </c>
      <c r="F100" s="7" t="s">
        <v>3</v>
      </c>
      <c r="G100" s="23">
        <f>'Lecho de Secado'!G8</f>
        <v>2.976</v>
      </c>
      <c r="H100" s="340">
        <f t="shared" si="3"/>
        <v>0</v>
      </c>
    </row>
    <row r="101" spans="1:8" x14ac:dyDescent="0.2">
      <c r="A101" s="434"/>
      <c r="B101" s="429" t="s">
        <v>406</v>
      </c>
      <c r="C101" s="124" t="s">
        <v>223</v>
      </c>
      <c r="D101" s="207"/>
      <c r="E101" s="179">
        <v>3</v>
      </c>
      <c r="F101" s="125" t="s">
        <v>55</v>
      </c>
      <c r="G101" s="129">
        <v>3</v>
      </c>
      <c r="H101" s="340">
        <f t="shared" si="3"/>
        <v>0</v>
      </c>
    </row>
    <row r="102" spans="1:8" x14ac:dyDescent="0.2">
      <c r="A102" s="434"/>
      <c r="B102" s="8"/>
      <c r="C102" s="108" t="s">
        <v>313</v>
      </c>
      <c r="D102" s="116" t="str">
        <f>IF(E102&gt;E101,"adecuado","insuficiente")</f>
        <v>adecuado</v>
      </c>
      <c r="E102" s="546">
        <f>E99/E100</f>
        <v>182.45450322580643</v>
      </c>
      <c r="F102" s="465" t="s">
        <v>55</v>
      </c>
      <c r="G102" s="129">
        <f>G99/G100</f>
        <v>182.45450322580643</v>
      </c>
      <c r="H102" s="340">
        <f t="shared" si="3"/>
        <v>0</v>
      </c>
    </row>
    <row r="103" spans="1:8" x14ac:dyDescent="0.2">
      <c r="A103" s="434"/>
      <c r="B103" s="427" t="s">
        <v>392</v>
      </c>
      <c r="C103" s="130" t="s">
        <v>222</v>
      </c>
      <c r="D103" s="131"/>
      <c r="E103" s="547">
        <f>100/72.1</f>
        <v>1.3869625520110958</v>
      </c>
      <c r="F103" s="132"/>
      <c r="G103" s="160">
        <f>100/72.1</f>
        <v>1.3869625520110958</v>
      </c>
      <c r="H103" s="340">
        <f t="shared" si="1"/>
        <v>0</v>
      </c>
    </row>
    <row r="104" spans="1:8" x14ac:dyDescent="0.2">
      <c r="A104" s="434"/>
      <c r="B104" s="423"/>
      <c r="C104" s="112" t="s">
        <v>402</v>
      </c>
      <c r="D104" s="252"/>
      <c r="E104" s="253">
        <f>E95*E103</f>
        <v>4.4827339805825241</v>
      </c>
      <c r="F104" s="254" t="s">
        <v>179</v>
      </c>
      <c r="G104" s="400">
        <f>G95*G103</f>
        <v>4.4827339805825241</v>
      </c>
      <c r="H104" s="340">
        <f t="shared" si="1"/>
        <v>0</v>
      </c>
    </row>
    <row r="105" spans="1:8" x14ac:dyDescent="0.2">
      <c r="A105" s="434"/>
      <c r="B105" s="423"/>
      <c r="C105" s="249"/>
      <c r="D105" s="250"/>
      <c r="E105" s="548">
        <f>E104*E98*24*60/E68</f>
        <v>753.09930873786402</v>
      </c>
      <c r="F105" s="251" t="s">
        <v>307</v>
      </c>
      <c r="G105" s="341">
        <f>G104*G98*24*60/G68</f>
        <v>753.09930873786402</v>
      </c>
      <c r="H105" s="340">
        <f t="shared" si="1"/>
        <v>0</v>
      </c>
    </row>
    <row r="106" spans="1:8" ht="15" x14ac:dyDescent="0.25">
      <c r="A106" s="434"/>
      <c r="B106" s="423"/>
      <c r="C106" s="264" t="s">
        <v>123</v>
      </c>
      <c r="D106" s="265"/>
      <c r="E106" s="266"/>
      <c r="F106" s="267"/>
      <c r="G106" s="453"/>
      <c r="H106" s="336"/>
    </row>
    <row r="107" spans="1:8" x14ac:dyDescent="0.2">
      <c r="A107" s="434"/>
      <c r="B107" s="423"/>
      <c r="C107" s="78" t="s">
        <v>180</v>
      </c>
      <c r="D107" s="96"/>
      <c r="E107" s="452">
        <f>E70*E18</f>
        <v>403.2</v>
      </c>
      <c r="F107" s="80" t="s">
        <v>181</v>
      </c>
      <c r="G107" s="23">
        <f>G70*G18</f>
        <v>403.2</v>
      </c>
      <c r="H107" s="340">
        <f t="shared" si="1"/>
        <v>0</v>
      </c>
    </row>
    <row r="108" spans="1:8" x14ac:dyDescent="0.2">
      <c r="A108" s="434"/>
      <c r="B108" s="423" t="s">
        <v>407</v>
      </c>
      <c r="C108" s="124" t="s">
        <v>148</v>
      </c>
      <c r="D108" s="213"/>
      <c r="E108" s="212">
        <v>0.74</v>
      </c>
      <c r="F108" s="125" t="s">
        <v>99</v>
      </c>
      <c r="G108" s="348">
        <v>0.74</v>
      </c>
      <c r="H108" s="340">
        <f t="shared" si="1"/>
        <v>0</v>
      </c>
    </row>
    <row r="109" spans="1:8" x14ac:dyDescent="0.2">
      <c r="A109" s="434"/>
      <c r="B109" s="426" t="s">
        <v>84</v>
      </c>
      <c r="C109" s="114" t="s">
        <v>152</v>
      </c>
      <c r="D109" s="98" t="str">
        <f>IF(E109=E108,"no se requiere zeolita",IF(E109&gt;E108,"se requiere zeolita","error"))</f>
        <v>se requiere zeolita</v>
      </c>
      <c r="E109" s="115">
        <f>E22</f>
        <v>0.8</v>
      </c>
      <c r="F109" s="211" t="s">
        <v>99</v>
      </c>
      <c r="G109" s="350">
        <f>G22</f>
        <v>0.8</v>
      </c>
      <c r="H109" s="340">
        <f t="shared" si="1"/>
        <v>0</v>
      </c>
    </row>
    <row r="110" spans="1:8" x14ac:dyDescent="0.2">
      <c r="A110" s="434"/>
      <c r="B110" s="423"/>
      <c r="C110" s="3" t="s">
        <v>147</v>
      </c>
      <c r="D110" s="92"/>
      <c r="E110" s="277">
        <f>E108*E107</f>
        <v>298.36799999999999</v>
      </c>
      <c r="F110" s="7" t="s">
        <v>181</v>
      </c>
      <c r="G110" s="277">
        <f>G108*G107</f>
        <v>298.36799999999999</v>
      </c>
      <c r="H110" s="340">
        <f t="shared" si="1"/>
        <v>0</v>
      </c>
    </row>
    <row r="111" spans="1:8" x14ac:dyDescent="0.2">
      <c r="A111" s="434"/>
      <c r="B111" s="423"/>
      <c r="C111" s="3" t="s">
        <v>153</v>
      </c>
      <c r="D111" s="92"/>
      <c r="E111" s="277">
        <f>E109*E107</f>
        <v>322.56</v>
      </c>
      <c r="F111" s="5" t="s">
        <v>181</v>
      </c>
      <c r="G111" s="277">
        <f>G109*G107</f>
        <v>322.56</v>
      </c>
      <c r="H111" s="340">
        <f t="shared" si="1"/>
        <v>0</v>
      </c>
    </row>
    <row r="112" spans="1:8" x14ac:dyDescent="0.2">
      <c r="A112" s="434"/>
      <c r="B112" s="423"/>
      <c r="C112" s="3" t="s">
        <v>149</v>
      </c>
      <c r="D112" s="92"/>
      <c r="E112" s="23">
        <f>E111-E110</f>
        <v>24.192000000000007</v>
      </c>
      <c r="F112" s="7" t="s">
        <v>181</v>
      </c>
      <c r="G112" s="23">
        <f>G111-G110</f>
        <v>24.192000000000007</v>
      </c>
      <c r="H112" s="340">
        <f t="shared" si="1"/>
        <v>0</v>
      </c>
    </row>
    <row r="113" spans="1:8" x14ac:dyDescent="0.2">
      <c r="A113" s="434"/>
      <c r="B113" s="423" t="s">
        <v>408</v>
      </c>
      <c r="C113" s="124" t="s">
        <v>98</v>
      </c>
      <c r="D113" s="121"/>
      <c r="E113" s="135">
        <v>40</v>
      </c>
      <c r="F113" s="125" t="s">
        <v>99</v>
      </c>
      <c r="G113" s="351">
        <v>40</v>
      </c>
      <c r="H113" s="340">
        <f t="shared" si="1"/>
        <v>0</v>
      </c>
    </row>
    <row r="114" spans="1:8" x14ac:dyDescent="0.2">
      <c r="A114" s="434"/>
      <c r="B114" s="423"/>
      <c r="C114" s="234" t="s">
        <v>182</v>
      </c>
      <c r="D114" s="235"/>
      <c r="E114" s="245">
        <f>E112/E113</f>
        <v>0.60480000000000023</v>
      </c>
      <c r="F114" s="107" t="s">
        <v>201</v>
      </c>
      <c r="G114" s="436">
        <f>G112/G113</f>
        <v>0.60480000000000023</v>
      </c>
      <c r="H114" s="340">
        <f t="shared" si="1"/>
        <v>0</v>
      </c>
    </row>
    <row r="115" spans="1:8" x14ac:dyDescent="0.2">
      <c r="A115" s="434"/>
      <c r="B115" s="423"/>
      <c r="C115" s="231"/>
      <c r="D115" s="232"/>
      <c r="E115" s="248">
        <f>E98*E114*'Planta Pinbasa'!E69</f>
        <v>101.60640000000004</v>
      </c>
      <c r="F115" s="233" t="s">
        <v>308</v>
      </c>
      <c r="G115" s="352">
        <f>G98*G114*'Planta Pinbasa'!G69</f>
        <v>101.60640000000004</v>
      </c>
      <c r="H115" s="340">
        <f t="shared" si="1"/>
        <v>0</v>
      </c>
    </row>
    <row r="116" spans="1:8" x14ac:dyDescent="0.2">
      <c r="A116" s="434"/>
      <c r="B116" s="423" t="s">
        <v>210</v>
      </c>
      <c r="C116" s="176" t="s">
        <v>306</v>
      </c>
      <c r="D116" s="159"/>
      <c r="E116" s="28">
        <f>'Lecho de Secado'!E8</f>
        <v>2.976</v>
      </c>
      <c r="F116" s="177" t="s">
        <v>3</v>
      </c>
      <c r="G116" s="28">
        <f>'Lecho de Secado'!G8</f>
        <v>2.976</v>
      </c>
      <c r="H116" s="340">
        <f t="shared" si="1"/>
        <v>0</v>
      </c>
    </row>
    <row r="117" spans="1:8" x14ac:dyDescent="0.2">
      <c r="A117" s="434"/>
      <c r="B117" s="423"/>
      <c r="C117" s="208" t="s">
        <v>172</v>
      </c>
      <c r="D117" s="137"/>
      <c r="E117" s="209">
        <f>E115/E116</f>
        <v>34.141935483870981</v>
      </c>
      <c r="F117" s="210" t="s">
        <v>122</v>
      </c>
      <c r="G117" s="39">
        <f>G115/G116</f>
        <v>34.141935483870981</v>
      </c>
      <c r="H117" s="340">
        <f t="shared" si="1"/>
        <v>0</v>
      </c>
    </row>
    <row r="118" spans="1:8" ht="15" x14ac:dyDescent="0.25">
      <c r="A118" s="434"/>
      <c r="B118" s="423"/>
      <c r="C118" s="264" t="s">
        <v>353</v>
      </c>
      <c r="D118" s="265"/>
      <c r="E118" s="266"/>
      <c r="F118" s="267"/>
      <c r="G118" s="39"/>
      <c r="H118" s="361"/>
    </row>
    <row r="119" spans="1:8" x14ac:dyDescent="0.2">
      <c r="A119" s="434"/>
      <c r="B119" s="422" t="s">
        <v>84</v>
      </c>
      <c r="C119" s="145" t="s">
        <v>373</v>
      </c>
      <c r="D119" s="146"/>
      <c r="E119" s="147">
        <v>1.25</v>
      </c>
      <c r="F119" s="148" t="s">
        <v>5</v>
      </c>
      <c r="G119" s="39">
        <v>1.25</v>
      </c>
      <c r="H119" s="340">
        <f t="shared" si="1"/>
        <v>0</v>
      </c>
    </row>
    <row r="120" spans="1:8" x14ac:dyDescent="0.2">
      <c r="A120" s="434"/>
      <c r="B120" s="422" t="s">
        <v>84</v>
      </c>
      <c r="C120" s="145" t="s">
        <v>28</v>
      </c>
      <c r="D120" s="146"/>
      <c r="E120" s="147">
        <v>1.25</v>
      </c>
      <c r="F120" s="148" t="s">
        <v>5</v>
      </c>
      <c r="G120" s="39">
        <v>1.25</v>
      </c>
      <c r="H120" s="340">
        <f t="shared" si="1"/>
        <v>0</v>
      </c>
    </row>
    <row r="121" spans="1:8" x14ac:dyDescent="0.2">
      <c r="A121" s="434"/>
      <c r="B121" s="422" t="s">
        <v>84</v>
      </c>
      <c r="C121" s="145" t="s">
        <v>374</v>
      </c>
      <c r="D121" s="146"/>
      <c r="E121" s="147">
        <v>1.6</v>
      </c>
      <c r="F121" s="148" t="s">
        <v>5</v>
      </c>
      <c r="G121" s="39">
        <v>1.6</v>
      </c>
      <c r="H121" s="340">
        <f t="shared" si="1"/>
        <v>0</v>
      </c>
    </row>
    <row r="122" spans="1:8" x14ac:dyDescent="0.2">
      <c r="A122" s="434"/>
      <c r="B122" s="422"/>
      <c r="C122" s="522" t="s">
        <v>375</v>
      </c>
      <c r="D122" s="523"/>
      <c r="E122" s="524">
        <v>0.3</v>
      </c>
      <c r="F122" s="525" t="s">
        <v>5</v>
      </c>
      <c r="G122" s="39">
        <v>0.3</v>
      </c>
      <c r="H122" s="340">
        <f t="shared" si="1"/>
        <v>0</v>
      </c>
    </row>
    <row r="123" spans="1:8" x14ac:dyDescent="0.2">
      <c r="A123" s="434"/>
      <c r="B123" s="423"/>
      <c r="C123" s="108" t="s">
        <v>376</v>
      </c>
      <c r="D123" s="93"/>
      <c r="E123" s="486">
        <f>E119*E120*(E121-E122)</f>
        <v>2.03125</v>
      </c>
      <c r="F123" s="465"/>
      <c r="G123" s="39">
        <f>G119*G120*(G121-G122)</f>
        <v>2.03125</v>
      </c>
      <c r="H123" s="340">
        <f t="shared" si="1"/>
        <v>0</v>
      </c>
    </row>
    <row r="124" spans="1:8" ht="15" x14ac:dyDescent="0.2">
      <c r="A124" s="434"/>
      <c r="B124" s="430" t="s">
        <v>151</v>
      </c>
      <c r="C124" s="124" t="s">
        <v>294</v>
      </c>
      <c r="D124" s="207"/>
      <c r="E124" s="179">
        <v>0.2</v>
      </c>
      <c r="F124" s="125" t="s">
        <v>150</v>
      </c>
      <c r="G124" s="23">
        <v>0.2</v>
      </c>
      <c r="H124" s="340">
        <f>G124-E124</f>
        <v>0</v>
      </c>
    </row>
    <row r="125" spans="1:8" x14ac:dyDescent="0.2">
      <c r="A125" s="434"/>
      <c r="B125" s="426" t="s">
        <v>84</v>
      </c>
      <c r="C125" s="446" t="s">
        <v>295</v>
      </c>
      <c r="D125" s="241"/>
      <c r="E125" s="447">
        <v>300</v>
      </c>
      <c r="F125" s="448" t="s">
        <v>291</v>
      </c>
      <c r="G125" s="526">
        <v>300</v>
      </c>
      <c r="H125" s="340">
        <f>G125-E125</f>
        <v>0</v>
      </c>
    </row>
    <row r="126" spans="1:8" x14ac:dyDescent="0.2">
      <c r="A126" s="434"/>
      <c r="B126" s="422"/>
      <c r="C126" s="75" t="s">
        <v>296</v>
      </c>
      <c r="D126" s="38"/>
      <c r="E126" s="354">
        <f>E125/E124</f>
        <v>1500</v>
      </c>
      <c r="F126" s="76" t="s">
        <v>297</v>
      </c>
      <c r="G126" s="354">
        <f>G125/G124</f>
        <v>1500</v>
      </c>
      <c r="H126" s="340">
        <f>G126-E126</f>
        <v>0</v>
      </c>
    </row>
    <row r="127" spans="1:8" x14ac:dyDescent="0.2">
      <c r="A127" s="434"/>
      <c r="B127" s="422"/>
      <c r="C127" s="75" t="s">
        <v>377</v>
      </c>
      <c r="D127" s="102" t="str">
        <f>IF(E127&lt;0.8,"adecuado","insuficiente")</f>
        <v>adecuado</v>
      </c>
      <c r="E127" s="355">
        <f>0.001*E126/E123</f>
        <v>0.7384615384615385</v>
      </c>
      <c r="F127" s="76"/>
      <c r="G127" s="355">
        <f>0.001*G126/G123</f>
        <v>0.7384615384615385</v>
      </c>
      <c r="H127" s="340">
        <f>G127-E127</f>
        <v>0</v>
      </c>
    </row>
    <row r="128" spans="1:8" x14ac:dyDescent="0.2">
      <c r="A128" s="434"/>
      <c r="B128" s="423"/>
      <c r="C128" s="75" t="s">
        <v>347</v>
      </c>
      <c r="D128" s="484"/>
      <c r="E128" s="39">
        <f>E125*E114/E95</f>
        <v>56.13772455089822</v>
      </c>
      <c r="F128" s="76" t="s">
        <v>291</v>
      </c>
      <c r="G128" s="39">
        <f>G125*G114/G95</f>
        <v>56.13772455089822</v>
      </c>
      <c r="H128" s="340">
        <f t="shared" ref="H128:H134" si="4">G128-E128</f>
        <v>0</v>
      </c>
    </row>
    <row r="129" spans="1:8" x14ac:dyDescent="0.2">
      <c r="A129" s="434"/>
      <c r="B129" s="423"/>
      <c r="C129" s="75" t="s">
        <v>348</v>
      </c>
      <c r="D129" s="484"/>
      <c r="E129" s="39">
        <f>E125/E96</f>
        <v>3.8675129898932297</v>
      </c>
      <c r="F129" s="76" t="s">
        <v>213</v>
      </c>
      <c r="G129" s="39">
        <f>G125/G96</f>
        <v>3.8675129898932297</v>
      </c>
      <c r="H129" s="340">
        <f t="shared" si="4"/>
        <v>0</v>
      </c>
    </row>
    <row r="130" spans="1:8" x14ac:dyDescent="0.2">
      <c r="A130" s="434"/>
      <c r="B130" s="423"/>
      <c r="C130" s="75" t="s">
        <v>349</v>
      </c>
      <c r="D130" s="484"/>
      <c r="E130" s="39">
        <f>E126/(E129*E69)</f>
        <v>16.160256</v>
      </c>
      <c r="F130" s="76" t="s">
        <v>297</v>
      </c>
      <c r="G130" s="39">
        <f>G126/(G129*G69)</f>
        <v>16.160256</v>
      </c>
      <c r="H130" s="340">
        <f t="shared" si="4"/>
        <v>0</v>
      </c>
    </row>
    <row r="131" spans="1:8" x14ac:dyDescent="0.2">
      <c r="A131" s="434"/>
      <c r="B131" s="328" t="s">
        <v>355</v>
      </c>
      <c r="C131" s="158" t="s">
        <v>324</v>
      </c>
      <c r="D131" s="121"/>
      <c r="E131" s="179">
        <v>3.8</v>
      </c>
      <c r="F131" s="125" t="s">
        <v>325</v>
      </c>
      <c r="G131" s="23">
        <v>3.8</v>
      </c>
      <c r="H131" s="340">
        <f t="shared" si="4"/>
        <v>0</v>
      </c>
    </row>
    <row r="132" spans="1:8" x14ac:dyDescent="0.2">
      <c r="A132" s="434"/>
      <c r="B132" s="423"/>
      <c r="C132" s="485" t="s">
        <v>354</v>
      </c>
      <c r="D132" s="93" t="str">
        <f>IF(E132&lt;E74,"adecuado","excesivo")</f>
        <v>adecuado</v>
      </c>
      <c r="E132" s="486">
        <f>E130/E131</f>
        <v>4.2526989473684216</v>
      </c>
      <c r="F132" s="487" t="s">
        <v>24</v>
      </c>
      <c r="G132" s="39">
        <f>G130/G131</f>
        <v>4.2526989473684216</v>
      </c>
      <c r="H132" s="340">
        <f t="shared" si="4"/>
        <v>0</v>
      </c>
    </row>
    <row r="133" spans="1:8" x14ac:dyDescent="0.2">
      <c r="A133" s="434"/>
      <c r="B133" s="423"/>
      <c r="C133" s="75" t="s">
        <v>387</v>
      </c>
      <c r="D133" s="484"/>
      <c r="E133" s="39">
        <v>0.5</v>
      </c>
      <c r="F133" s="76" t="s">
        <v>10</v>
      </c>
      <c r="G133" s="39">
        <v>0.5</v>
      </c>
      <c r="H133" s="340">
        <f t="shared" si="4"/>
        <v>0</v>
      </c>
    </row>
    <row r="134" spans="1:8" x14ac:dyDescent="0.2">
      <c r="A134" s="434"/>
      <c r="B134" s="423"/>
      <c r="C134" s="485" t="s">
        <v>386</v>
      </c>
      <c r="D134" s="137"/>
      <c r="E134" s="486">
        <f>0.001*E131/(60*0.25*3.14*(0.0254*E133)^2)</f>
        <v>0.50021331465168239</v>
      </c>
      <c r="F134" s="487" t="s">
        <v>11</v>
      </c>
      <c r="G134" s="39">
        <f>0.001*G131/(60*0.25*3.14*(0.0254*G133)^2)</f>
        <v>0.50021331465168239</v>
      </c>
      <c r="H134" s="340">
        <f t="shared" si="4"/>
        <v>0</v>
      </c>
    </row>
    <row r="135" spans="1:8" ht="15" x14ac:dyDescent="0.25">
      <c r="A135" s="434"/>
      <c r="B135" s="423"/>
      <c r="C135" s="264" t="s">
        <v>195</v>
      </c>
      <c r="D135" s="265"/>
      <c r="E135" s="266"/>
      <c r="F135" s="267"/>
      <c r="G135" s="39"/>
      <c r="H135" s="361"/>
    </row>
    <row r="136" spans="1:8" ht="15" customHeight="1" x14ac:dyDescent="0.2">
      <c r="A136" s="434"/>
      <c r="B136" s="429"/>
      <c r="C136" s="468" t="s">
        <v>312</v>
      </c>
      <c r="D136" s="469"/>
      <c r="E136" s="470">
        <f>E105+E115</f>
        <v>854.70570873786403</v>
      </c>
      <c r="F136" s="471" t="s">
        <v>308</v>
      </c>
      <c r="G136" s="353">
        <f>G105+G115</f>
        <v>854.70570873786403</v>
      </c>
      <c r="H136" s="340">
        <f>G136-E136</f>
        <v>0</v>
      </c>
    </row>
    <row r="137" spans="1:8" ht="15" customHeight="1" x14ac:dyDescent="0.2">
      <c r="A137" s="434"/>
      <c r="B137" s="429"/>
      <c r="C137" s="3" t="s">
        <v>310</v>
      </c>
      <c r="D137" s="92"/>
      <c r="E137" s="23">
        <f>E138/E69</f>
        <v>3.5330097087378642</v>
      </c>
      <c r="F137" s="52" t="s">
        <v>55</v>
      </c>
      <c r="G137" s="23">
        <f>G138/G69</f>
        <v>3.5330097087378642</v>
      </c>
      <c r="H137" s="340">
        <f>G137-E137</f>
        <v>0</v>
      </c>
    </row>
    <row r="138" spans="1:8" ht="15" customHeight="1" x14ac:dyDescent="0.2">
      <c r="A138" s="434"/>
      <c r="B138" s="423"/>
      <c r="C138" s="101" t="s">
        <v>309</v>
      </c>
      <c r="D138" s="92"/>
      <c r="E138" s="23">
        <f>E136/E70</f>
        <v>84.792233009708738</v>
      </c>
      <c r="F138" s="12" t="s">
        <v>55</v>
      </c>
      <c r="G138" s="23">
        <f>G136/G70</f>
        <v>84.792233009708738</v>
      </c>
      <c r="H138" s="340">
        <f t="shared" si="1"/>
        <v>0</v>
      </c>
    </row>
    <row r="139" spans="1:8" ht="15" x14ac:dyDescent="0.25">
      <c r="A139" s="434"/>
      <c r="B139" s="431"/>
      <c r="C139" s="331" t="s">
        <v>283</v>
      </c>
      <c r="F139" s="230"/>
      <c r="G139" s="335"/>
      <c r="H139" s="336"/>
    </row>
    <row r="140" spans="1:8" x14ac:dyDescent="0.2">
      <c r="A140" s="434"/>
      <c r="B140" s="431"/>
      <c r="C140" s="48" t="s">
        <v>13</v>
      </c>
      <c r="D140" s="35"/>
      <c r="E140" s="36">
        <v>1000</v>
      </c>
      <c r="F140" s="37" t="s">
        <v>14</v>
      </c>
      <c r="G140" s="354">
        <v>1000</v>
      </c>
      <c r="H140" s="340">
        <f t="shared" ref="H140:H177" si="5">G140-E140</f>
        <v>0</v>
      </c>
    </row>
    <row r="141" spans="1:8" x14ac:dyDescent="0.2">
      <c r="A141" s="434"/>
      <c r="B141" s="431"/>
      <c r="C141" s="48" t="s">
        <v>8</v>
      </c>
      <c r="D141" s="35" t="s">
        <v>36</v>
      </c>
      <c r="E141" s="36">
        <v>25</v>
      </c>
      <c r="F141" s="37" t="s">
        <v>12</v>
      </c>
      <c r="G141" s="354">
        <v>25</v>
      </c>
      <c r="H141" s="340">
        <f t="shared" si="5"/>
        <v>0</v>
      </c>
    </row>
    <row r="142" spans="1:8" x14ac:dyDescent="0.2">
      <c r="A142" s="434"/>
      <c r="B142" s="431"/>
      <c r="C142" s="55" t="s">
        <v>15</v>
      </c>
      <c r="D142" s="56" t="s">
        <v>16</v>
      </c>
      <c r="E142" s="57">
        <v>101.33</v>
      </c>
      <c r="F142" s="58" t="s">
        <v>17</v>
      </c>
      <c r="G142" s="39">
        <v>101.33</v>
      </c>
      <c r="H142" s="340">
        <f t="shared" si="5"/>
        <v>0</v>
      </c>
    </row>
    <row r="143" spans="1:8" x14ac:dyDescent="0.2">
      <c r="A143" s="434"/>
      <c r="B143" s="431"/>
      <c r="C143" s="53" t="s">
        <v>18</v>
      </c>
      <c r="D143" s="54"/>
      <c r="E143" s="40">
        <f>-9.81*28.97*E140/(8314*(273.15+E141))</f>
        <v>-0.11464963296434179</v>
      </c>
      <c r="F143" s="52"/>
      <c r="G143" s="40">
        <f>-9.81*28.97*G140/(8314*(273.15+G141))</f>
        <v>-0.11464963296434179</v>
      </c>
      <c r="H143" s="340">
        <f t="shared" si="5"/>
        <v>0</v>
      </c>
    </row>
    <row r="144" spans="1:8" ht="15" customHeight="1" x14ac:dyDescent="0.2">
      <c r="A144" s="434"/>
      <c r="B144" s="431"/>
      <c r="C144" s="53" t="s">
        <v>19</v>
      </c>
      <c r="D144" s="54" t="s">
        <v>57</v>
      </c>
      <c r="E144" s="40">
        <f>E142*EXP(E143)</f>
        <v>90.353782803986036</v>
      </c>
      <c r="F144" s="52" t="s">
        <v>17</v>
      </c>
      <c r="G144" s="40">
        <f>G142*EXP(G143)</f>
        <v>90.353782803986036</v>
      </c>
      <c r="H144" s="340">
        <f t="shared" si="5"/>
        <v>0</v>
      </c>
    </row>
    <row r="145" spans="1:8" ht="15" customHeight="1" x14ac:dyDescent="0.2">
      <c r="A145" s="3"/>
      <c r="B145" s="437"/>
      <c r="C145" s="189" t="s">
        <v>330</v>
      </c>
      <c r="D145" s="118"/>
      <c r="E145" s="147">
        <v>1.5</v>
      </c>
      <c r="F145" s="191" t="s">
        <v>5</v>
      </c>
      <c r="G145" s="39">
        <v>1.5</v>
      </c>
      <c r="H145" s="340">
        <f t="shared" si="5"/>
        <v>0</v>
      </c>
    </row>
    <row r="146" spans="1:8" ht="15" customHeight="1" x14ac:dyDescent="0.2">
      <c r="A146" s="3"/>
      <c r="B146" s="437"/>
      <c r="C146" s="189" t="s">
        <v>280</v>
      </c>
      <c r="D146" s="118"/>
      <c r="E146" s="239">
        <v>14</v>
      </c>
      <c r="F146" s="191" t="s">
        <v>21</v>
      </c>
      <c r="G146" s="134">
        <v>14</v>
      </c>
      <c r="H146" s="340">
        <f t="shared" si="5"/>
        <v>0</v>
      </c>
    </row>
    <row r="147" spans="1:8" ht="15" customHeight="1" x14ac:dyDescent="0.2">
      <c r="A147" s="3"/>
      <c r="B147" s="437"/>
      <c r="C147" s="53" t="s">
        <v>331</v>
      </c>
      <c r="D147" s="54"/>
      <c r="E147" s="40">
        <f>E146*E145</f>
        <v>21</v>
      </c>
      <c r="F147" s="52" t="s">
        <v>5</v>
      </c>
      <c r="G147" s="40">
        <f>G146*G145</f>
        <v>21</v>
      </c>
      <c r="H147" s="340">
        <f t="shared" si="5"/>
        <v>0</v>
      </c>
    </row>
    <row r="148" spans="1:8" ht="15" customHeight="1" x14ac:dyDescent="0.2">
      <c r="A148" s="434"/>
      <c r="B148" s="437"/>
      <c r="C148" s="53" t="s">
        <v>199</v>
      </c>
      <c r="D148" s="54"/>
      <c r="E148" s="40">
        <v>0.1</v>
      </c>
      <c r="F148" s="52" t="s">
        <v>5</v>
      </c>
      <c r="G148" s="40">
        <v>0.1</v>
      </c>
      <c r="H148" s="340">
        <f t="shared" si="5"/>
        <v>0</v>
      </c>
    </row>
    <row r="149" spans="1:8" ht="15" customHeight="1" x14ac:dyDescent="0.2">
      <c r="A149" s="434"/>
      <c r="B149" s="437"/>
      <c r="C149" s="53" t="s">
        <v>332</v>
      </c>
      <c r="D149" s="54"/>
      <c r="E149" s="474">
        <f>2*E147/E148</f>
        <v>420</v>
      </c>
      <c r="F149" s="52" t="s">
        <v>21</v>
      </c>
      <c r="G149" s="474">
        <f>2*G147/G148</f>
        <v>420</v>
      </c>
      <c r="H149" s="340">
        <f t="shared" si="5"/>
        <v>0</v>
      </c>
    </row>
    <row r="150" spans="1:8" ht="15" customHeight="1" x14ac:dyDescent="0.2">
      <c r="A150" s="434"/>
      <c r="B150" s="477" t="s">
        <v>84</v>
      </c>
      <c r="C150" s="145" t="s">
        <v>136</v>
      </c>
      <c r="D150" s="229" t="s">
        <v>333</v>
      </c>
      <c r="E150" s="194">
        <f>0.0254*3/16</f>
        <v>4.7624999999999994E-3</v>
      </c>
      <c r="F150" s="148" t="s">
        <v>5</v>
      </c>
      <c r="G150" s="344">
        <f>0.0254*3/16</f>
        <v>4.7624999999999994E-3</v>
      </c>
      <c r="H150" s="340">
        <f t="shared" si="5"/>
        <v>0</v>
      </c>
    </row>
    <row r="151" spans="1:8" ht="15" customHeight="1" x14ac:dyDescent="0.2">
      <c r="A151" s="434"/>
      <c r="B151" s="478"/>
      <c r="C151" s="81" t="s">
        <v>137</v>
      </c>
      <c r="D151" s="27"/>
      <c r="E151" s="475">
        <f>E149*0.25*3.143*E150^2</f>
        <v>7.485204283593748E-3</v>
      </c>
      <c r="F151" s="82" t="s">
        <v>4</v>
      </c>
      <c r="G151" s="475">
        <f>G149*0.25*3.143*G150^2</f>
        <v>7.485204283593748E-3</v>
      </c>
      <c r="H151" s="340">
        <f t="shared" si="5"/>
        <v>0</v>
      </c>
    </row>
    <row r="152" spans="1:8" ht="15" customHeight="1" x14ac:dyDescent="0.2">
      <c r="A152" s="434"/>
      <c r="B152" s="477" t="s">
        <v>84</v>
      </c>
      <c r="C152" s="145" t="s">
        <v>138</v>
      </c>
      <c r="D152" s="146"/>
      <c r="E152" s="147">
        <v>1.4</v>
      </c>
      <c r="F152" s="148" t="s">
        <v>11</v>
      </c>
      <c r="G152" s="39">
        <v>1.4</v>
      </c>
      <c r="H152" s="340">
        <f t="shared" si="5"/>
        <v>0</v>
      </c>
    </row>
    <row r="153" spans="1:8" ht="15" customHeight="1" x14ac:dyDescent="0.2">
      <c r="A153" s="3"/>
      <c r="B153" s="437"/>
      <c r="C153" s="234" t="s">
        <v>142</v>
      </c>
      <c r="D153" s="235"/>
      <c r="E153" s="245">
        <f>3600*E152*E151</f>
        <v>37.72542958931249</v>
      </c>
      <c r="F153" s="107" t="s">
        <v>281</v>
      </c>
      <c r="G153" s="436">
        <f>3600*G152*G151</f>
        <v>37.72542958931249</v>
      </c>
      <c r="H153" s="340">
        <f t="shared" si="5"/>
        <v>0</v>
      </c>
    </row>
    <row r="154" spans="1:8" x14ac:dyDescent="0.2">
      <c r="A154" s="3"/>
      <c r="B154" s="437"/>
      <c r="C154" s="231"/>
      <c r="D154" s="232"/>
      <c r="E154" s="248">
        <f>E153/3.6</f>
        <v>10.479285997031248</v>
      </c>
      <c r="F154" s="233" t="s">
        <v>1</v>
      </c>
      <c r="G154" s="352">
        <f>G153/3.6</f>
        <v>10.479285997031248</v>
      </c>
      <c r="H154" s="340">
        <f t="shared" si="5"/>
        <v>0</v>
      </c>
    </row>
    <row r="155" spans="1:8" x14ac:dyDescent="0.2">
      <c r="A155" s="434"/>
      <c r="B155" s="432" t="s">
        <v>103</v>
      </c>
      <c r="C155" s="196" t="s">
        <v>143</v>
      </c>
      <c r="D155" s="197"/>
      <c r="E155" s="198">
        <v>1.8</v>
      </c>
      <c r="F155" s="199" t="s">
        <v>5</v>
      </c>
      <c r="G155" s="340">
        <v>1.8</v>
      </c>
      <c r="H155" s="340">
        <f t="shared" si="5"/>
        <v>0</v>
      </c>
    </row>
    <row r="156" spans="1:8" x14ac:dyDescent="0.2">
      <c r="A156" s="434"/>
      <c r="B156" s="431"/>
      <c r="C156" s="200"/>
      <c r="D156" s="10"/>
      <c r="E156" s="201">
        <f>E155*9.8</f>
        <v>17.64</v>
      </c>
      <c r="F156" s="202" t="s">
        <v>17</v>
      </c>
      <c r="G156" s="476">
        <f>G155*9.8</f>
        <v>17.64</v>
      </c>
      <c r="H156" s="340">
        <f t="shared" si="5"/>
        <v>0</v>
      </c>
    </row>
    <row r="157" spans="1:8" x14ac:dyDescent="0.2">
      <c r="A157" s="434"/>
      <c r="B157" s="431"/>
      <c r="C157" s="203" t="s">
        <v>144</v>
      </c>
      <c r="D157" s="6" t="s">
        <v>145</v>
      </c>
      <c r="E157" s="195">
        <f>101325*(E144/E142)*28.97/(8314*(273.15+E141))</f>
        <v>1.0559140552855111</v>
      </c>
      <c r="F157" s="7" t="s">
        <v>68</v>
      </c>
      <c r="G157" s="39">
        <f>101325*(G144/G142)*28.97/(8314*(273.15+G141))</f>
        <v>1.0559140552855111</v>
      </c>
      <c r="H157" s="340">
        <f t="shared" si="5"/>
        <v>0</v>
      </c>
    </row>
    <row r="158" spans="1:8" x14ac:dyDescent="0.2">
      <c r="A158" s="434"/>
      <c r="B158" s="431"/>
      <c r="C158" s="204" t="s">
        <v>146</v>
      </c>
      <c r="D158" s="77"/>
      <c r="E158" s="205">
        <v>0.8</v>
      </c>
      <c r="F158" s="206"/>
      <c r="G158" s="355">
        <v>0.8</v>
      </c>
      <c r="H158" s="340">
        <f t="shared" si="5"/>
        <v>0</v>
      </c>
    </row>
    <row r="159" spans="1:8" x14ac:dyDescent="0.2">
      <c r="A159" s="434"/>
      <c r="B159" s="431"/>
      <c r="C159" s="64" t="s">
        <v>334</v>
      </c>
      <c r="D159" s="83"/>
      <c r="E159" s="91">
        <f>(0.001*E154*E157)*8.314*(273.15+E141)*(((E144+E156)/E144)^0.283-1)/(29.7*0.283*E158)</f>
        <v>0.2111615880182163</v>
      </c>
      <c r="F159" s="84" t="s">
        <v>20</v>
      </c>
      <c r="G159" s="39">
        <f>(0.001*G154*G157)*8.314*(273.15+G141)*(((G144+G156)/G144)^0.283-1)/(29.7*0.283*G158)</f>
        <v>0.2111615880182163</v>
      </c>
      <c r="H159" s="340">
        <f t="shared" si="5"/>
        <v>0</v>
      </c>
    </row>
    <row r="160" spans="1:8" x14ac:dyDescent="0.2">
      <c r="A160" s="434"/>
      <c r="B160" s="431"/>
      <c r="C160" s="75" t="s">
        <v>207</v>
      </c>
      <c r="D160" s="133"/>
      <c r="E160" s="39">
        <f>E159*E158</f>
        <v>0.16892927041457306</v>
      </c>
      <c r="F160" s="76" t="s">
        <v>20</v>
      </c>
      <c r="G160" s="39">
        <f>G159*G158</f>
        <v>0.16892927041457306</v>
      </c>
      <c r="H160" s="340">
        <f t="shared" si="5"/>
        <v>0</v>
      </c>
    </row>
    <row r="161" spans="1:8" x14ac:dyDescent="0.2">
      <c r="A161" s="434"/>
      <c r="B161" s="424" t="s">
        <v>188</v>
      </c>
      <c r="C161" s="259" t="s">
        <v>189</v>
      </c>
      <c r="D161" s="260" t="s">
        <v>190</v>
      </c>
      <c r="E161" s="261">
        <f>VLOOKUP(ROUND(E141,0),'Agua- T°C'!B5:I45,3)</f>
        <v>8.9099999999999997E-4</v>
      </c>
      <c r="F161" s="311" t="s">
        <v>244</v>
      </c>
      <c r="G161" s="356">
        <f>VLOOKUP(ROUND(G141,0),'Agua- T°C'!B5:I45,3)</f>
        <v>8.9099999999999997E-4</v>
      </c>
      <c r="H161" s="340">
        <f t="shared" si="5"/>
        <v>0</v>
      </c>
    </row>
    <row r="162" spans="1:8" x14ac:dyDescent="0.2">
      <c r="A162" s="434"/>
      <c r="B162" s="423" t="s">
        <v>381</v>
      </c>
      <c r="C162" s="259" t="s">
        <v>191</v>
      </c>
      <c r="D162" s="260" t="s">
        <v>192</v>
      </c>
      <c r="E162" s="261" t="s">
        <v>193</v>
      </c>
      <c r="F162" s="311" t="s">
        <v>194</v>
      </c>
      <c r="G162" s="356" t="s">
        <v>193</v>
      </c>
      <c r="H162" s="340"/>
    </row>
    <row r="163" spans="1:8" x14ac:dyDescent="0.2">
      <c r="A163" s="434"/>
      <c r="B163" s="423" t="s">
        <v>241</v>
      </c>
      <c r="C163" s="78" t="s">
        <v>242</v>
      </c>
      <c r="D163" s="262" t="str">
        <f>IF(E163&lt;50,"insuficiente",IF(E163&lt;100,"adecuado","excesivo"))</f>
        <v>adecuado</v>
      </c>
      <c r="E163" s="263">
        <f>(1000*E160/(E161*E43))^0.5</f>
        <v>61.333582549489897</v>
      </c>
      <c r="F163" s="312" t="s">
        <v>194</v>
      </c>
      <c r="G163" s="349">
        <f>(1000*G160/(G161*G43))^0.5</f>
        <v>61.333582549489897</v>
      </c>
      <c r="H163" s="340">
        <f t="shared" si="5"/>
        <v>0</v>
      </c>
    </row>
    <row r="164" spans="1:8" x14ac:dyDescent="0.2">
      <c r="A164" s="434"/>
      <c r="B164" s="424"/>
      <c r="C164" s="53" t="s">
        <v>284</v>
      </c>
      <c r="D164" s="54"/>
      <c r="E164" s="40">
        <f>E154/E146</f>
        <v>0.74852042835937482</v>
      </c>
      <c r="F164" s="52" t="s">
        <v>1</v>
      </c>
      <c r="G164" s="40">
        <f>G154/G146</f>
        <v>0.74852042835937482</v>
      </c>
      <c r="H164" s="340">
        <f t="shared" ref="H164:H166" si="6">G164-E164</f>
        <v>0</v>
      </c>
    </row>
    <row r="165" spans="1:8" x14ac:dyDescent="0.2">
      <c r="A165" s="434"/>
      <c r="B165" s="424"/>
      <c r="C165" s="53" t="s">
        <v>285</v>
      </c>
      <c r="D165" s="54"/>
      <c r="E165" s="40">
        <v>0.5</v>
      </c>
      <c r="F165" s="52" t="s">
        <v>10</v>
      </c>
      <c r="G165" s="40">
        <v>0.5</v>
      </c>
      <c r="H165" s="340">
        <f t="shared" si="6"/>
        <v>0</v>
      </c>
    </row>
    <row r="166" spans="1:8" x14ac:dyDescent="0.2">
      <c r="A166" s="434"/>
      <c r="B166" s="424"/>
      <c r="C166" s="438" t="s">
        <v>287</v>
      </c>
      <c r="D166" s="439"/>
      <c r="E166" s="440">
        <f>0.001*E164/(3.14*0.25*(0.025*E165)^2)</f>
        <v>6.1025869318471315</v>
      </c>
      <c r="F166" s="238" t="s">
        <v>286</v>
      </c>
      <c r="G166" s="40">
        <f>0.001*G164/(3.14*0.25*(0.025*G165)^2)</f>
        <v>6.1025869318471315</v>
      </c>
      <c r="H166" s="340">
        <f t="shared" si="6"/>
        <v>0</v>
      </c>
    </row>
    <row r="167" spans="1:8" ht="15" x14ac:dyDescent="0.25">
      <c r="A167" s="434"/>
      <c r="B167" s="431"/>
      <c r="C167" s="331" t="s">
        <v>167</v>
      </c>
      <c r="F167" s="230"/>
      <c r="G167" s="335"/>
      <c r="H167" s="336"/>
    </row>
    <row r="168" spans="1:8" x14ac:dyDescent="0.2">
      <c r="A168" s="434"/>
      <c r="B168" s="432"/>
      <c r="C168" s="81" t="s">
        <v>187</v>
      </c>
      <c r="D168" s="27"/>
      <c r="E168" s="258">
        <f>E75*E69*365/60</f>
        <v>2920</v>
      </c>
      <c r="F168" s="7" t="s">
        <v>224</v>
      </c>
      <c r="G168" s="258">
        <f>G75*G69*365/60</f>
        <v>2920</v>
      </c>
      <c r="H168" s="340">
        <f t="shared" si="5"/>
        <v>0</v>
      </c>
    </row>
    <row r="169" spans="1:8" x14ac:dyDescent="0.2">
      <c r="A169" s="434"/>
      <c r="B169" s="432"/>
      <c r="C169" s="53" t="s">
        <v>168</v>
      </c>
      <c r="D169" s="54"/>
      <c r="E169" s="220">
        <f>E168*E159</f>
        <v>616.59183701319159</v>
      </c>
      <c r="F169" s="52" t="s">
        <v>163</v>
      </c>
      <c r="G169" s="220">
        <f>G168*G159</f>
        <v>616.59183701319159</v>
      </c>
      <c r="H169" s="340">
        <f t="shared" si="5"/>
        <v>0</v>
      </c>
    </row>
    <row r="170" spans="1:8" x14ac:dyDescent="0.2">
      <c r="A170" s="434"/>
      <c r="B170" s="433"/>
      <c r="C170" s="223" t="s">
        <v>225</v>
      </c>
      <c r="D170" s="4"/>
      <c r="E170" s="161">
        <f>E64</f>
        <v>0.52574011800098819</v>
      </c>
      <c r="F170" s="7" t="s">
        <v>20</v>
      </c>
      <c r="G170" s="161">
        <f>G64</f>
        <v>0.52574011800098819</v>
      </c>
      <c r="H170" s="340">
        <f t="shared" si="5"/>
        <v>0</v>
      </c>
    </row>
    <row r="171" spans="1:8" x14ac:dyDescent="0.2">
      <c r="A171" s="434"/>
      <c r="B171" s="433"/>
      <c r="C171" s="81" t="s">
        <v>226</v>
      </c>
      <c r="D171" s="27"/>
      <c r="E171" s="220">
        <f>E74*E69*365/60</f>
        <v>2527.9494254836477</v>
      </c>
      <c r="F171" s="7" t="s">
        <v>9</v>
      </c>
      <c r="G171" s="220">
        <f>G74*G69*365/60</f>
        <v>2527.9494254836477</v>
      </c>
      <c r="H171" s="340">
        <f t="shared" si="5"/>
        <v>0</v>
      </c>
    </row>
    <row r="172" spans="1:8" x14ac:dyDescent="0.2">
      <c r="A172" s="434"/>
      <c r="B172" s="433"/>
      <c r="C172" s="218" t="s">
        <v>227</v>
      </c>
      <c r="D172" s="257"/>
      <c r="E172" s="220">
        <f>E171*E170</f>
        <v>1329.0444292543032</v>
      </c>
      <c r="F172" s="76" t="s">
        <v>163</v>
      </c>
      <c r="G172" s="220">
        <f>G171*G170</f>
        <v>1329.0444292543032</v>
      </c>
      <c r="H172" s="340">
        <f t="shared" si="5"/>
        <v>0</v>
      </c>
    </row>
    <row r="173" spans="1:8" x14ac:dyDescent="0.2">
      <c r="A173" s="434"/>
      <c r="B173" s="433" t="s">
        <v>338</v>
      </c>
      <c r="C173" s="287" t="s">
        <v>337</v>
      </c>
      <c r="D173" s="92"/>
      <c r="E173" s="288">
        <f>2.5*12/1000</f>
        <v>0.03</v>
      </c>
      <c r="F173" s="270" t="s">
        <v>20</v>
      </c>
      <c r="G173" s="288">
        <f>2.5*12/1000</f>
        <v>0.03</v>
      </c>
      <c r="H173" s="340">
        <f t="shared" si="5"/>
        <v>0</v>
      </c>
    </row>
    <row r="174" spans="1:8" x14ac:dyDescent="0.2">
      <c r="A174" s="434"/>
      <c r="B174" s="433"/>
      <c r="C174" s="176" t="s">
        <v>339</v>
      </c>
      <c r="D174" s="27"/>
      <c r="E174" s="289">
        <f>'Lecho de Secado'!E41*'Lecho de Secado'!E42*365/E98</f>
        <v>625.71428571428567</v>
      </c>
      <c r="F174" s="270" t="s">
        <v>224</v>
      </c>
      <c r="G174" s="289">
        <f>'Lecho de Secado'!G41*'Lecho de Secado'!G42*365/G98</f>
        <v>625.71428571428567</v>
      </c>
      <c r="H174" s="340">
        <f t="shared" si="5"/>
        <v>0</v>
      </c>
    </row>
    <row r="175" spans="1:8" x14ac:dyDescent="0.2">
      <c r="A175" s="434"/>
      <c r="B175" s="433"/>
      <c r="C175" s="73" t="s">
        <v>340</v>
      </c>
      <c r="D175" s="74"/>
      <c r="E175" s="289">
        <f>E174*E173</f>
        <v>18.771428571428569</v>
      </c>
      <c r="F175" s="12" t="s">
        <v>163</v>
      </c>
      <c r="G175" s="289">
        <f>G174*G173</f>
        <v>18.771428571428569</v>
      </c>
      <c r="H175" s="340">
        <f t="shared" si="5"/>
        <v>0</v>
      </c>
    </row>
    <row r="176" spans="1:8" x14ac:dyDescent="0.2">
      <c r="A176" s="434"/>
      <c r="B176" s="433"/>
      <c r="C176" s="224" t="s">
        <v>165</v>
      </c>
      <c r="D176" s="225"/>
      <c r="E176" s="292">
        <f>E172+E169+E175</f>
        <v>1964.4076948389231</v>
      </c>
      <c r="F176" s="227" t="s">
        <v>163</v>
      </c>
      <c r="G176" s="258">
        <f>G172+G169+G175</f>
        <v>1964.4076948389231</v>
      </c>
      <c r="H176" s="340">
        <f t="shared" si="5"/>
        <v>0</v>
      </c>
    </row>
    <row r="177" spans="1:8" ht="15" customHeight="1" x14ac:dyDescent="0.2">
      <c r="A177" s="434"/>
      <c r="B177" s="433"/>
      <c r="C177" s="224" t="s">
        <v>166</v>
      </c>
      <c r="D177" s="225"/>
      <c r="E177" s="226">
        <f>E176/(365*E15)</f>
        <v>2.2246771205231702E-2</v>
      </c>
      <c r="F177" s="227" t="s">
        <v>49</v>
      </c>
      <c r="G177" s="482">
        <f>G176/(365*G15)</f>
        <v>2.2246771205231702E-2</v>
      </c>
      <c r="H177" s="340">
        <f t="shared" si="5"/>
        <v>0</v>
      </c>
    </row>
    <row r="179" spans="1:8" ht="15.75" x14ac:dyDescent="0.25">
      <c r="C179" s="562" t="s">
        <v>247</v>
      </c>
      <c r="D179" s="563"/>
      <c r="E179"/>
      <c r="F179"/>
    </row>
    <row r="180" spans="1:8" ht="15" customHeight="1" x14ac:dyDescent="0.25">
      <c r="C180" s="558" t="s">
        <v>255</v>
      </c>
      <c r="D180" s="564"/>
      <c r="E180" s="561"/>
      <c r="F180" s="561"/>
    </row>
    <row r="181" spans="1:8" ht="15" customHeight="1" x14ac:dyDescent="0.25">
      <c r="C181" s="558" t="s">
        <v>256</v>
      </c>
      <c r="D181" s="564"/>
      <c r="E181" s="561"/>
      <c r="F181" s="561"/>
    </row>
    <row r="182" spans="1:8" ht="15" customHeight="1" x14ac:dyDescent="0.25">
      <c r="C182" s="558" t="s">
        <v>257</v>
      </c>
      <c r="D182" s="559"/>
      <c r="E182" s="559"/>
      <c r="F182" s="559"/>
    </row>
    <row r="183" spans="1:8" ht="15" customHeight="1" x14ac:dyDescent="0.25">
      <c r="C183" s="558" t="s">
        <v>258</v>
      </c>
      <c r="D183" s="564"/>
      <c r="E183" s="561"/>
      <c r="F183" s="561"/>
    </row>
    <row r="184" spans="1:8" ht="15" customHeight="1" x14ac:dyDescent="0.25">
      <c r="C184" s="558" t="s">
        <v>248</v>
      </c>
      <c r="D184" s="564"/>
      <c r="E184" s="561"/>
      <c r="F184" s="561"/>
    </row>
    <row r="185" spans="1:8" ht="15" x14ac:dyDescent="0.25">
      <c r="C185" s="558" t="s">
        <v>272</v>
      </c>
      <c r="D185" s="561"/>
      <c r="E185" s="561"/>
      <c r="F185" s="561"/>
    </row>
    <row r="186" spans="1:8" ht="15" customHeight="1" x14ac:dyDescent="0.25">
      <c r="C186" s="558" t="s">
        <v>259</v>
      </c>
      <c r="D186" s="561"/>
      <c r="E186" s="561"/>
      <c r="F186" s="561"/>
    </row>
    <row r="187" spans="1:8" ht="14.25" customHeight="1" x14ac:dyDescent="0.25">
      <c r="C187" s="558" t="s">
        <v>266</v>
      </c>
      <c r="D187" s="561"/>
      <c r="E187" s="561"/>
      <c r="F187" s="561"/>
    </row>
    <row r="188" spans="1:8" ht="15" customHeight="1" x14ac:dyDescent="0.25">
      <c r="C188" s="558" t="s">
        <v>267</v>
      </c>
      <c r="D188" s="561"/>
      <c r="E188" s="561"/>
      <c r="F188" s="561"/>
    </row>
    <row r="189" spans="1:8" ht="15" customHeight="1" x14ac:dyDescent="0.25">
      <c r="C189" s="558" t="s">
        <v>260</v>
      </c>
      <c r="D189" s="561"/>
      <c r="E189" s="561"/>
      <c r="F189" s="561"/>
    </row>
    <row r="190" spans="1:8" ht="15" customHeight="1" x14ac:dyDescent="0.25">
      <c r="C190" s="558" t="s">
        <v>261</v>
      </c>
      <c r="D190" s="561"/>
      <c r="E190" s="561"/>
      <c r="F190" s="561"/>
    </row>
    <row r="191" spans="1:8" ht="15" customHeight="1" x14ac:dyDescent="0.25">
      <c r="C191" s="558" t="s">
        <v>273</v>
      </c>
      <c r="D191" s="561"/>
      <c r="E191" s="561"/>
      <c r="F191" s="561"/>
    </row>
    <row r="192" spans="1:8" ht="15" customHeight="1" x14ac:dyDescent="0.25">
      <c r="C192" s="558" t="s">
        <v>262</v>
      </c>
      <c r="D192" s="561"/>
      <c r="E192" s="561"/>
      <c r="F192" s="561"/>
    </row>
    <row r="193" spans="3:6" ht="15" customHeight="1" x14ac:dyDescent="0.25">
      <c r="C193" s="558" t="s">
        <v>268</v>
      </c>
      <c r="D193" s="561"/>
      <c r="E193" s="561"/>
      <c r="F193" s="561"/>
    </row>
    <row r="194" spans="3:6" ht="15" customHeight="1" x14ac:dyDescent="0.25">
      <c r="C194" s="558" t="s">
        <v>249</v>
      </c>
      <c r="D194" s="559"/>
      <c r="E194" s="559"/>
      <c r="F194" s="559"/>
    </row>
    <row r="195" spans="3:6" ht="15" customHeight="1" x14ac:dyDescent="0.2">
      <c r="C195" s="555" t="s">
        <v>250</v>
      </c>
      <c r="D195" s="555"/>
      <c r="E195" s="555"/>
      <c r="F195" s="555"/>
    </row>
    <row r="196" spans="3:6" ht="15" customHeight="1" x14ac:dyDescent="0.25">
      <c r="C196" s="555" t="s">
        <v>251</v>
      </c>
      <c r="D196" s="560"/>
      <c r="E196" s="560"/>
      <c r="F196" s="560"/>
    </row>
    <row r="197" spans="3:6" ht="15" customHeight="1" x14ac:dyDescent="0.25">
      <c r="C197" s="555" t="s">
        <v>263</v>
      </c>
      <c r="D197" s="556"/>
      <c r="E197" s="557"/>
      <c r="F197" s="557"/>
    </row>
    <row r="198" spans="3:6" ht="15" customHeight="1" x14ac:dyDescent="0.25">
      <c r="C198" s="555" t="s">
        <v>264</v>
      </c>
      <c r="D198" s="556"/>
      <c r="E198" s="557"/>
      <c r="F198" s="557"/>
    </row>
    <row r="199" spans="3:6" ht="15" customHeight="1" x14ac:dyDescent="0.25">
      <c r="C199" s="555" t="s">
        <v>265</v>
      </c>
      <c r="D199" s="561"/>
      <c r="E199" s="561"/>
      <c r="F199" s="561"/>
    </row>
    <row r="200" spans="3:6" ht="15" customHeight="1" x14ac:dyDescent="0.25">
      <c r="C200" s="555" t="s">
        <v>252</v>
      </c>
      <c r="D200" s="557"/>
      <c r="E200" s="557"/>
      <c r="F200" s="557"/>
    </row>
    <row r="201" spans="3:6" ht="15" x14ac:dyDescent="0.25">
      <c r="C201" s="555" t="s">
        <v>269</v>
      </c>
      <c r="D201" s="556"/>
      <c r="E201" s="557"/>
      <c r="F201" s="557"/>
    </row>
  </sheetData>
  <mergeCells count="23">
    <mergeCell ref="C179:D179"/>
    <mergeCell ref="C191:F191"/>
    <mergeCell ref="C192:F192"/>
    <mergeCell ref="C193:F193"/>
    <mergeCell ref="C190:F190"/>
    <mergeCell ref="C186:F186"/>
    <mergeCell ref="C187:F187"/>
    <mergeCell ref="C188:F188"/>
    <mergeCell ref="C189:F189"/>
    <mergeCell ref="C180:F180"/>
    <mergeCell ref="C181:F181"/>
    <mergeCell ref="C182:F182"/>
    <mergeCell ref="C183:F183"/>
    <mergeCell ref="C184:F184"/>
    <mergeCell ref="C185:F185"/>
    <mergeCell ref="C201:F201"/>
    <mergeCell ref="C200:F200"/>
    <mergeCell ref="C194:F194"/>
    <mergeCell ref="C195:F195"/>
    <mergeCell ref="C196:F196"/>
    <mergeCell ref="C197:F197"/>
    <mergeCell ref="C198:F198"/>
    <mergeCell ref="C199:F199"/>
  </mergeCells>
  <hyperlinks>
    <hyperlink ref="B124" r:id="rId1" location=":~:text=Para%20preparar%2010%20litros%20de%20pintura%20necesitar%C3%A1s%20de,acuerdo%20a%20la%20consistencia%20final%20de%20la%20pintura." display="https://www.pintomicasa.com/2008/02/preparacin-casera-de-pintura-con-cal.html - :~:text=Para%20preparar%2010%20litros%20de%20pintura%20necesitar%C3%A1s%20de,acuerdo%20a%20la%20consistencia%20final%20de%20la%20pintura." xr:uid="{8E9BDD9D-F313-44EA-8669-BCACF1C314FB}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FEC0E-3047-4AE4-AB95-FE11914F7B13}">
  <dimension ref="A1:H55"/>
  <sheetViews>
    <sheetView showGridLines="0" topLeftCell="B1" zoomScale="75" zoomScaleNormal="75" workbookViewId="0">
      <selection activeCell="I25" sqref="I25"/>
    </sheetView>
  </sheetViews>
  <sheetFormatPr baseColWidth="10" defaultRowHeight="15" x14ac:dyDescent="0.25"/>
  <cols>
    <col min="1" max="1" width="22.85546875" customWidth="1"/>
    <col min="2" max="2" width="49.5703125" customWidth="1"/>
    <col min="3" max="3" width="58.28515625" customWidth="1"/>
    <col min="4" max="4" width="34.140625" customWidth="1"/>
    <col min="5" max="5" width="9.7109375" customWidth="1"/>
    <col min="6" max="6" width="10" customWidth="1"/>
    <col min="7" max="7" width="15" customWidth="1"/>
    <col min="8" max="8" width="14.7109375" customWidth="1"/>
  </cols>
  <sheetData>
    <row r="1" spans="1:8" ht="33" customHeight="1" x14ac:dyDescent="0.25">
      <c r="A1" s="164" t="s">
        <v>271</v>
      </c>
      <c r="B1" s="164" t="s">
        <v>52</v>
      </c>
      <c r="C1" s="367"/>
      <c r="D1" s="368"/>
      <c r="E1" s="368"/>
      <c r="F1" s="368"/>
      <c r="G1" s="164" t="s">
        <v>53</v>
      </c>
      <c r="H1" s="334" t="s">
        <v>54</v>
      </c>
    </row>
    <row r="2" spans="1:8" ht="22.5" customHeight="1" x14ac:dyDescent="0.25">
      <c r="A2" s="1"/>
      <c r="B2" s="357"/>
      <c r="C2" s="565" t="s">
        <v>404</v>
      </c>
      <c r="D2" s="566"/>
      <c r="E2" s="566"/>
      <c r="F2" s="567"/>
      <c r="G2" s="50"/>
      <c r="H2" s="369"/>
    </row>
    <row r="3" spans="1:8" ht="15" customHeight="1" x14ac:dyDescent="0.25">
      <c r="A3" s="1"/>
      <c r="B3" s="328" t="s">
        <v>100</v>
      </c>
      <c r="C3" s="120" t="s">
        <v>314</v>
      </c>
      <c r="D3" s="121"/>
      <c r="E3" s="179">
        <v>0.2</v>
      </c>
      <c r="F3" s="122" t="s">
        <v>5</v>
      </c>
      <c r="G3" s="358">
        <v>0.2</v>
      </c>
      <c r="H3" s="340">
        <f t="shared" ref="H3:H43" si="0">G3-E3</f>
        <v>0</v>
      </c>
    </row>
    <row r="4" spans="1:8" ht="15" customHeight="1" x14ac:dyDescent="0.25">
      <c r="A4" s="1"/>
      <c r="B4" s="328"/>
      <c r="C4" s="13" t="s">
        <v>316</v>
      </c>
      <c r="D4" s="95"/>
      <c r="E4" s="26">
        <v>0.25</v>
      </c>
      <c r="F4" s="128" t="s">
        <v>5</v>
      </c>
      <c r="G4" s="358">
        <v>0.25</v>
      </c>
      <c r="H4" s="340">
        <f t="shared" si="0"/>
        <v>0</v>
      </c>
    </row>
    <row r="5" spans="1:8" ht="15" customHeight="1" x14ac:dyDescent="0.25">
      <c r="A5" s="1"/>
      <c r="B5" s="328"/>
      <c r="C5" s="13" t="s">
        <v>320</v>
      </c>
      <c r="D5" s="95"/>
      <c r="E5" s="26">
        <v>6.2</v>
      </c>
      <c r="F5" s="128" t="s">
        <v>5</v>
      </c>
      <c r="G5" s="359">
        <v>6.2</v>
      </c>
      <c r="H5" s="340">
        <f t="shared" si="0"/>
        <v>0</v>
      </c>
    </row>
    <row r="6" spans="1:8" ht="15" customHeight="1" x14ac:dyDescent="0.25">
      <c r="A6" s="1"/>
      <c r="B6" s="328"/>
      <c r="C6" s="13" t="s">
        <v>319</v>
      </c>
      <c r="D6" s="95"/>
      <c r="E6" s="26">
        <v>2.4</v>
      </c>
      <c r="F6" s="128" t="s">
        <v>5</v>
      </c>
      <c r="G6" s="359">
        <v>2.4</v>
      </c>
      <c r="H6" s="340">
        <f t="shared" si="0"/>
        <v>0</v>
      </c>
    </row>
    <row r="7" spans="1:8" ht="15" customHeight="1" x14ac:dyDescent="0.25">
      <c r="A7" s="1"/>
      <c r="B7" s="328"/>
      <c r="C7" s="78" t="s">
        <v>208</v>
      </c>
      <c r="D7" s="93"/>
      <c r="E7" s="79">
        <f>E5*E6</f>
        <v>14.879999999999999</v>
      </c>
      <c r="F7" s="80" t="s">
        <v>4</v>
      </c>
      <c r="G7" s="359">
        <f>G5*G6</f>
        <v>14.879999999999999</v>
      </c>
      <c r="H7" s="340">
        <f t="shared" si="0"/>
        <v>0</v>
      </c>
    </row>
    <row r="8" spans="1:8" ht="15" customHeight="1" x14ac:dyDescent="0.25">
      <c r="A8" s="1"/>
      <c r="B8" s="328"/>
      <c r="C8" s="108" t="s">
        <v>305</v>
      </c>
      <c r="D8" s="116"/>
      <c r="E8" s="272">
        <f>E3*E7</f>
        <v>2.976</v>
      </c>
      <c r="F8" s="126" t="s">
        <v>3</v>
      </c>
      <c r="G8" s="360">
        <f>G3*G7</f>
        <v>2.976</v>
      </c>
      <c r="H8" s="340">
        <f t="shared" si="0"/>
        <v>0</v>
      </c>
    </row>
    <row r="9" spans="1:8" ht="15" customHeight="1" x14ac:dyDescent="0.25">
      <c r="A9" s="1"/>
      <c r="B9" s="328" t="s">
        <v>228</v>
      </c>
      <c r="C9" s="108" t="s">
        <v>218</v>
      </c>
      <c r="D9" s="116"/>
      <c r="E9" s="272">
        <f>'Planta Pinbasa'!E70</f>
        <v>10.08</v>
      </c>
      <c r="F9" s="126" t="s">
        <v>121</v>
      </c>
      <c r="G9" s="360">
        <f>'Planta Pinbasa'!G70</f>
        <v>10.08</v>
      </c>
      <c r="H9" s="340">
        <f>G9-E9</f>
        <v>0</v>
      </c>
    </row>
    <row r="10" spans="1:8" ht="15" customHeight="1" x14ac:dyDescent="0.25">
      <c r="A10" s="1"/>
      <c r="B10" s="328"/>
      <c r="C10" s="101" t="s">
        <v>315</v>
      </c>
      <c r="D10" s="20"/>
      <c r="E10" s="288">
        <f>E9/E7</f>
        <v>0.67741935483870974</v>
      </c>
      <c r="F10" s="12" t="s">
        <v>5</v>
      </c>
      <c r="G10" s="288">
        <f>G9/G7</f>
        <v>0.67741935483870974</v>
      </c>
      <c r="H10" s="340">
        <f t="shared" ref="H10:H17" si="1">G10-E10</f>
        <v>0</v>
      </c>
    </row>
    <row r="11" spans="1:8" ht="15" customHeight="1" x14ac:dyDescent="0.25">
      <c r="A11" s="1"/>
      <c r="B11" s="328" t="s">
        <v>228</v>
      </c>
      <c r="C11" s="3" t="s">
        <v>357</v>
      </c>
      <c r="D11" s="20"/>
      <c r="E11" s="17">
        <f>'Tubería de Lodos'!E5</f>
        <v>6.9583372420464933</v>
      </c>
      <c r="F11" s="5" t="s">
        <v>1</v>
      </c>
      <c r="G11" s="359">
        <f>'Planta Pinbasa'!G77</f>
        <v>6.9583372420464933</v>
      </c>
      <c r="H11" s="340">
        <f t="shared" si="1"/>
        <v>0</v>
      </c>
    </row>
    <row r="12" spans="1:8" ht="15" customHeight="1" x14ac:dyDescent="0.25">
      <c r="A12" s="1"/>
      <c r="B12" s="104" t="s">
        <v>398</v>
      </c>
      <c r="C12" s="124" t="s">
        <v>401</v>
      </c>
      <c r="D12" s="121" t="s">
        <v>399</v>
      </c>
      <c r="E12" s="541">
        <f>(0.12+0.15)/2</f>
        <v>0.13500000000000001</v>
      </c>
      <c r="F12" s="122"/>
      <c r="G12" s="541">
        <f>(0.12+0.15)/2</f>
        <v>0.13500000000000001</v>
      </c>
      <c r="H12" s="340">
        <f>G12-E12</f>
        <v>0</v>
      </c>
    </row>
    <row r="13" spans="1:8" ht="15" customHeight="1" x14ac:dyDescent="0.25">
      <c r="A13" s="1"/>
      <c r="B13" s="104" t="s">
        <v>397</v>
      </c>
      <c r="C13" s="124" t="s">
        <v>212</v>
      </c>
      <c r="D13" s="121"/>
      <c r="E13" s="179">
        <v>2.2000000000000002</v>
      </c>
      <c r="F13" s="125"/>
      <c r="G13" s="358">
        <v>2.2000000000000002</v>
      </c>
      <c r="H13" s="340">
        <f>G13-E13</f>
        <v>0</v>
      </c>
    </row>
    <row r="14" spans="1:8" ht="15" customHeight="1" x14ac:dyDescent="0.25">
      <c r="A14" s="1"/>
      <c r="B14" s="104"/>
      <c r="C14" s="535" t="s">
        <v>409</v>
      </c>
      <c r="D14" s="20"/>
      <c r="E14" s="526">
        <f>1000*E12*E13</f>
        <v>297</v>
      </c>
      <c r="F14" s="5" t="s">
        <v>391</v>
      </c>
      <c r="G14" s="161">
        <f>1000*G12*G13</f>
        <v>297</v>
      </c>
      <c r="H14" s="340">
        <f>G14-E14</f>
        <v>0</v>
      </c>
    </row>
    <row r="15" spans="1:8" ht="15" customHeight="1" x14ac:dyDescent="0.25">
      <c r="A15" s="1"/>
      <c r="B15" s="328" t="s">
        <v>228</v>
      </c>
      <c r="C15" s="461" t="s">
        <v>390</v>
      </c>
      <c r="D15" s="93"/>
      <c r="E15" s="272">
        <f>'Planta Pinbasa'!E105/E14</f>
        <v>2.5356879082082964</v>
      </c>
      <c r="F15" s="80" t="s">
        <v>3</v>
      </c>
      <c r="G15" s="161">
        <f>'Planta Pinbasa'!G105/G14</f>
        <v>2.5356879082082964</v>
      </c>
      <c r="H15" s="340">
        <f>G15-E15</f>
        <v>0</v>
      </c>
    </row>
    <row r="16" spans="1:8" ht="15" customHeight="1" x14ac:dyDescent="0.25">
      <c r="A16" s="1"/>
      <c r="B16" s="328"/>
      <c r="C16" s="539" t="s">
        <v>395</v>
      </c>
      <c r="D16" s="93" t="str">
        <f>IF(E16&lt;E3,"adecuado","area de lochos insuficiente")</f>
        <v>adecuado</v>
      </c>
      <c r="E16" s="237">
        <f>E15/E7</f>
        <v>0.17040913361614896</v>
      </c>
      <c r="F16" s="113" t="s">
        <v>5</v>
      </c>
      <c r="G16" s="160">
        <f>G15/G7</f>
        <v>0.17040913361614896</v>
      </c>
      <c r="H16" s="340">
        <f>G16-E16</f>
        <v>0</v>
      </c>
    </row>
    <row r="17" spans="1:8" ht="15" customHeight="1" x14ac:dyDescent="0.25">
      <c r="A17" s="1"/>
      <c r="B17" s="328"/>
      <c r="C17" s="81" t="s">
        <v>317</v>
      </c>
      <c r="D17" s="27"/>
      <c r="E17" s="193">
        <f>E4-E16</f>
        <v>7.9590866383851044E-2</v>
      </c>
      <c r="F17" s="82" t="s">
        <v>5</v>
      </c>
      <c r="G17" s="193">
        <f>G4-G16</f>
        <v>7.9590866383851044E-2</v>
      </c>
      <c r="H17" s="340">
        <f t="shared" si="1"/>
        <v>0</v>
      </c>
    </row>
    <row r="18" spans="1:8" ht="15" customHeight="1" x14ac:dyDescent="0.25">
      <c r="A18" s="1"/>
      <c r="B18" s="328" t="s">
        <v>92</v>
      </c>
      <c r="C18" s="18" t="s">
        <v>372</v>
      </c>
      <c r="D18" s="127"/>
      <c r="E18" s="19">
        <v>2</v>
      </c>
      <c r="F18" s="14" t="s">
        <v>93</v>
      </c>
      <c r="G18" s="359">
        <v>2</v>
      </c>
      <c r="H18" s="340">
        <f t="shared" si="0"/>
        <v>0</v>
      </c>
    </row>
    <row r="19" spans="1:8" ht="15" customHeight="1" x14ac:dyDescent="0.25">
      <c r="A19" s="1"/>
      <c r="B19" s="328" t="s">
        <v>103</v>
      </c>
      <c r="C19" s="13" t="s">
        <v>94</v>
      </c>
      <c r="D19" s="95"/>
      <c r="E19" s="26">
        <v>0.5</v>
      </c>
      <c r="F19" s="128" t="s">
        <v>5</v>
      </c>
      <c r="G19" s="358">
        <v>0.5</v>
      </c>
      <c r="H19" s="340">
        <f t="shared" si="0"/>
        <v>0</v>
      </c>
    </row>
    <row r="20" spans="1:8" ht="15" customHeight="1" x14ac:dyDescent="0.25">
      <c r="A20" s="1"/>
      <c r="B20" s="370"/>
      <c r="C20" s="3" t="s">
        <v>95</v>
      </c>
      <c r="D20" s="20"/>
      <c r="E20" s="17">
        <f>E18+E19</f>
        <v>2.5</v>
      </c>
      <c r="F20" s="5" t="s">
        <v>93</v>
      </c>
      <c r="G20" s="359">
        <f>G18+G19</f>
        <v>2.5</v>
      </c>
      <c r="H20" s="340">
        <f t="shared" si="0"/>
        <v>0</v>
      </c>
    </row>
    <row r="21" spans="1:8" ht="15" customHeight="1" x14ac:dyDescent="0.25">
      <c r="A21" s="1"/>
      <c r="B21" s="328"/>
      <c r="C21" s="13" t="s">
        <v>96</v>
      </c>
      <c r="D21" s="95"/>
      <c r="E21" s="26">
        <v>0.25</v>
      </c>
      <c r="F21" s="128" t="s">
        <v>5</v>
      </c>
      <c r="G21" s="359">
        <v>0.25</v>
      </c>
      <c r="H21" s="340">
        <f t="shared" si="0"/>
        <v>0</v>
      </c>
    </row>
    <row r="22" spans="1:8" ht="15" customHeight="1" x14ac:dyDescent="0.25">
      <c r="A22" s="1"/>
      <c r="B22" s="180"/>
      <c r="C22" s="78" t="s">
        <v>97</v>
      </c>
      <c r="D22" s="116"/>
      <c r="E22" s="79">
        <f>E20/E21</f>
        <v>10</v>
      </c>
      <c r="F22" s="80" t="s">
        <v>393</v>
      </c>
      <c r="G22" s="359">
        <f>G20/G21</f>
        <v>10</v>
      </c>
      <c r="H22" s="340">
        <f t="shared" si="0"/>
        <v>0</v>
      </c>
    </row>
    <row r="23" spans="1:8" ht="15.75" x14ac:dyDescent="0.25">
      <c r="A23" s="1"/>
      <c r="B23" s="186"/>
      <c r="C23" s="357" t="s">
        <v>298</v>
      </c>
      <c r="D23" s="273"/>
      <c r="E23" s="273"/>
      <c r="F23" s="366"/>
      <c r="G23" s="335"/>
      <c r="H23" s="336"/>
    </row>
    <row r="24" spans="1:8" x14ac:dyDescent="0.25">
      <c r="A24" s="1"/>
      <c r="B24" s="328" t="s">
        <v>301</v>
      </c>
      <c r="C24" s="3" t="s">
        <v>299</v>
      </c>
      <c r="D24" s="20"/>
      <c r="E24" s="17">
        <v>25</v>
      </c>
      <c r="F24" s="5" t="s">
        <v>130</v>
      </c>
      <c r="G24" s="17">
        <v>25</v>
      </c>
      <c r="H24" s="340">
        <f t="shared" ref="H24:H25" si="2">G24-E24</f>
        <v>0</v>
      </c>
    </row>
    <row r="25" spans="1:8" x14ac:dyDescent="0.25">
      <c r="A25" s="1"/>
      <c r="B25" s="104" t="s">
        <v>397</v>
      </c>
      <c r="C25" s="3" t="s">
        <v>303</v>
      </c>
      <c r="D25" s="20"/>
      <c r="E25" s="161">
        <v>1.4</v>
      </c>
      <c r="F25" s="5"/>
      <c r="G25" s="161">
        <v>1.4</v>
      </c>
      <c r="H25" s="340">
        <f t="shared" si="2"/>
        <v>0</v>
      </c>
    </row>
    <row r="26" spans="1:8" x14ac:dyDescent="0.25">
      <c r="A26" s="1"/>
      <c r="B26" s="104"/>
      <c r="C26" s="78" t="s">
        <v>300</v>
      </c>
      <c r="D26" s="116"/>
      <c r="E26" s="79">
        <f>E24*E13/E25</f>
        <v>39.285714285714292</v>
      </c>
      <c r="F26" s="80" t="s">
        <v>130</v>
      </c>
      <c r="G26" s="17">
        <f>G24*G13/G25</f>
        <v>39.285714285714292</v>
      </c>
      <c r="H26" s="340">
        <f t="shared" ref="H26:H30" si="3">G26-E26</f>
        <v>0</v>
      </c>
    </row>
    <row r="27" spans="1:8" x14ac:dyDescent="0.25">
      <c r="A27" s="1"/>
      <c r="B27" s="104"/>
      <c r="C27" s="301" t="s">
        <v>302</v>
      </c>
      <c r="D27" s="456"/>
      <c r="E27" s="457">
        <f>60*E17/E26</f>
        <v>0.12155695956806341</v>
      </c>
      <c r="F27" s="458" t="s">
        <v>24</v>
      </c>
      <c r="G27" s="457">
        <f>60*G17/G26</f>
        <v>0.12155695956806341</v>
      </c>
      <c r="H27" s="340">
        <f t="shared" si="3"/>
        <v>0</v>
      </c>
    </row>
    <row r="28" spans="1:8" x14ac:dyDescent="0.25">
      <c r="A28" s="1"/>
      <c r="B28" s="104"/>
      <c r="C28" s="301" t="s">
        <v>396</v>
      </c>
      <c r="D28" s="456"/>
      <c r="E28" s="457">
        <f>E5*(E4-E16)</f>
        <v>0.49346337157987646</v>
      </c>
      <c r="F28" s="458" t="s">
        <v>4</v>
      </c>
      <c r="G28" s="457">
        <f>G5*(G4-G16)</f>
        <v>0.49346337157987646</v>
      </c>
      <c r="H28" s="340">
        <f t="shared" si="3"/>
        <v>0</v>
      </c>
    </row>
    <row r="29" spans="1:8" x14ac:dyDescent="0.25">
      <c r="A29" s="1"/>
      <c r="B29" s="104"/>
      <c r="C29" s="301" t="s">
        <v>318</v>
      </c>
      <c r="D29" s="456"/>
      <c r="E29" s="538">
        <f>0.001*E11/E28</f>
        <v>1.4101020750068282E-2</v>
      </c>
      <c r="F29" s="458" t="s">
        <v>11</v>
      </c>
      <c r="G29" s="457">
        <f>0.001*G11/G28</f>
        <v>1.4101020750068282E-2</v>
      </c>
      <c r="H29" s="340">
        <f t="shared" si="3"/>
        <v>0</v>
      </c>
    </row>
    <row r="30" spans="1:8" x14ac:dyDescent="0.25">
      <c r="A30" s="1"/>
      <c r="B30" s="104"/>
      <c r="C30" s="459" t="s">
        <v>400</v>
      </c>
      <c r="D30" s="262" t="str">
        <f>IF(E30&lt;E27,"No hay Condiciones para Decantación ", "Hay Condiciones para Decantación")</f>
        <v>Hay Condiciones para Decantación</v>
      </c>
      <c r="E30" s="536">
        <f>E6/(60*E29)</f>
        <v>2.8366740755137392</v>
      </c>
      <c r="F30" s="454" t="s">
        <v>24</v>
      </c>
      <c r="G30" s="457">
        <f>G6/(60*G29)</f>
        <v>2.8366740755137392</v>
      </c>
      <c r="H30" s="340">
        <f t="shared" si="3"/>
        <v>0</v>
      </c>
    </row>
    <row r="31" spans="1:8" ht="15.75" x14ac:dyDescent="0.25">
      <c r="A31" s="1"/>
      <c r="B31" s="104"/>
      <c r="C31" s="357" t="s">
        <v>217</v>
      </c>
      <c r="D31" s="273"/>
      <c r="E31" s="273"/>
      <c r="F31" s="366"/>
      <c r="G31" s="335"/>
      <c r="H31" s="336"/>
    </row>
    <row r="32" spans="1:8" x14ac:dyDescent="0.25">
      <c r="A32" s="1"/>
      <c r="B32" s="104"/>
      <c r="C32" s="97" t="s">
        <v>174</v>
      </c>
      <c r="D32" s="118" t="s">
        <v>214</v>
      </c>
      <c r="E32" s="119">
        <v>7</v>
      </c>
      <c r="F32" s="100" t="s">
        <v>213</v>
      </c>
      <c r="G32" s="359">
        <v>7</v>
      </c>
      <c r="H32" s="340">
        <f t="shared" si="0"/>
        <v>0</v>
      </c>
    </row>
    <row r="33" spans="1:8" x14ac:dyDescent="0.25">
      <c r="A33" s="1"/>
      <c r="B33" s="328" t="s">
        <v>228</v>
      </c>
      <c r="C33" s="78" t="s">
        <v>322</v>
      </c>
      <c r="D33" s="116"/>
      <c r="E33" s="537">
        <f>'Planta Pinbasa'!E136</f>
        <v>854.70570873786403</v>
      </c>
      <c r="F33" s="80" t="s">
        <v>291</v>
      </c>
      <c r="G33" s="455">
        <f>'Planta Pinbasa'!G136</f>
        <v>854.70570873786403</v>
      </c>
      <c r="H33" s="340">
        <f t="shared" si="0"/>
        <v>0</v>
      </c>
    </row>
    <row r="34" spans="1:8" x14ac:dyDescent="0.25">
      <c r="A34" s="1"/>
      <c r="B34" s="328"/>
      <c r="C34" s="78" t="s">
        <v>321</v>
      </c>
      <c r="D34" s="116"/>
      <c r="E34" s="282">
        <f>E33/E8</f>
        <v>287.19949890385215</v>
      </c>
      <c r="F34" s="80" t="s">
        <v>209</v>
      </c>
      <c r="G34" s="362">
        <f>G33/G8</f>
        <v>287.19949890385215</v>
      </c>
      <c r="H34" s="340">
        <f t="shared" si="0"/>
        <v>0</v>
      </c>
    </row>
    <row r="35" spans="1:8" x14ac:dyDescent="0.25">
      <c r="A35" s="1"/>
      <c r="B35" s="328"/>
      <c r="C35" s="214" t="s">
        <v>215</v>
      </c>
      <c r="D35" s="109"/>
      <c r="E35" s="554">
        <f>E34/E13</f>
        <v>130.54522677447824</v>
      </c>
      <c r="F35" s="215" t="s">
        <v>211</v>
      </c>
      <c r="G35" s="411">
        <f>G34/G13</f>
        <v>130.54522677447824</v>
      </c>
      <c r="H35" s="340">
        <f t="shared" si="0"/>
        <v>0</v>
      </c>
    </row>
    <row r="36" spans="1:8" x14ac:dyDescent="0.25">
      <c r="A36" s="1"/>
      <c r="B36" s="328"/>
      <c r="C36" s="278"/>
      <c r="D36" s="279"/>
      <c r="E36" s="280">
        <f>E35/1000</f>
        <v>0.13054522677447825</v>
      </c>
      <c r="F36" s="281"/>
      <c r="G36" s="364">
        <f>G35/1000</f>
        <v>0.13054522677447825</v>
      </c>
      <c r="H36" s="340">
        <f t="shared" si="0"/>
        <v>0</v>
      </c>
    </row>
    <row r="37" spans="1:8" x14ac:dyDescent="0.25">
      <c r="A37" s="1"/>
      <c r="B37" s="328" t="s">
        <v>89</v>
      </c>
      <c r="C37" s="124" t="s">
        <v>175</v>
      </c>
      <c r="D37" s="466" t="s">
        <v>90</v>
      </c>
      <c r="E37" s="222">
        <v>0.35</v>
      </c>
      <c r="F37" s="125"/>
      <c r="G37" s="365">
        <v>0.35</v>
      </c>
      <c r="H37" s="340">
        <f t="shared" si="0"/>
        <v>0</v>
      </c>
    </row>
    <row r="38" spans="1:8" x14ac:dyDescent="0.25">
      <c r="A38" s="1"/>
      <c r="B38" s="328"/>
      <c r="C38" s="176" t="s">
        <v>216</v>
      </c>
      <c r="D38" s="283">
        <f>E38/1000</f>
        <v>4.569082937106738E-2</v>
      </c>
      <c r="E38" s="178">
        <f>E37*E35</f>
        <v>45.69082937106738</v>
      </c>
      <c r="F38" s="177" t="s">
        <v>211</v>
      </c>
      <c r="G38" s="363">
        <f>G37*G35</f>
        <v>45.69082937106738</v>
      </c>
      <c r="H38" s="340">
        <f t="shared" si="0"/>
        <v>0</v>
      </c>
    </row>
    <row r="39" spans="1:8" x14ac:dyDescent="0.25">
      <c r="A39" s="1"/>
      <c r="B39" s="328"/>
      <c r="C39" s="108" t="s">
        <v>91</v>
      </c>
      <c r="D39" s="285">
        <f>1-(E36+D38)</f>
        <v>0.82376394385445439</v>
      </c>
      <c r="E39" s="272">
        <f>D39*E8</f>
        <v>2.4515214969108561</v>
      </c>
      <c r="F39" s="126" t="s">
        <v>323</v>
      </c>
      <c r="G39" s="360">
        <f>D39*G8</f>
        <v>2.4515214969108561</v>
      </c>
      <c r="H39" s="340">
        <f t="shared" si="0"/>
        <v>0</v>
      </c>
    </row>
    <row r="40" spans="1:8" x14ac:dyDescent="0.25">
      <c r="A40" s="1"/>
      <c r="B40" s="328" t="s">
        <v>359</v>
      </c>
      <c r="C40" s="158" t="s">
        <v>324</v>
      </c>
      <c r="D40" s="121"/>
      <c r="E40" s="179">
        <v>3.8</v>
      </c>
      <c r="F40" s="125" t="s">
        <v>325</v>
      </c>
      <c r="G40" s="23">
        <v>3.8</v>
      </c>
      <c r="H40" s="340">
        <f t="shared" si="0"/>
        <v>0</v>
      </c>
    </row>
    <row r="41" spans="1:8" x14ac:dyDescent="0.25">
      <c r="A41" s="1"/>
      <c r="B41" s="244" t="s">
        <v>84</v>
      </c>
      <c r="C41" s="97" t="s">
        <v>326</v>
      </c>
      <c r="D41" s="118"/>
      <c r="E41" s="467">
        <v>0.5</v>
      </c>
      <c r="F41" s="100"/>
      <c r="G41" s="346">
        <v>0.5</v>
      </c>
      <c r="H41" s="340">
        <f t="shared" si="0"/>
        <v>0</v>
      </c>
    </row>
    <row r="42" spans="1:8" x14ac:dyDescent="0.25">
      <c r="A42" s="1"/>
      <c r="B42" s="104"/>
      <c r="C42" s="139" t="s">
        <v>350</v>
      </c>
      <c r="D42" s="484"/>
      <c r="E42" s="129">
        <f>E43*E41</f>
        <v>24</v>
      </c>
      <c r="F42" s="52" t="s">
        <v>9</v>
      </c>
      <c r="G42" s="62">
        <f>G43*G41</f>
        <v>24</v>
      </c>
      <c r="H42" s="340">
        <f>G42-E42</f>
        <v>0</v>
      </c>
    </row>
    <row r="43" spans="1:8" x14ac:dyDescent="0.25">
      <c r="A43" s="1"/>
      <c r="B43" s="104" t="s">
        <v>352</v>
      </c>
      <c r="C43" s="158" t="s">
        <v>351</v>
      </c>
      <c r="D43" s="121"/>
      <c r="E43" s="540">
        <v>48</v>
      </c>
      <c r="F43" s="125" t="s">
        <v>9</v>
      </c>
      <c r="G43" s="472">
        <v>48</v>
      </c>
      <c r="H43" s="340">
        <f t="shared" si="0"/>
        <v>0</v>
      </c>
    </row>
    <row r="44" spans="1:8" x14ac:dyDescent="0.25">
      <c r="A44" s="1"/>
      <c r="B44" s="328"/>
      <c r="C44" s="468" t="s">
        <v>327</v>
      </c>
      <c r="D44" s="469"/>
      <c r="E44" s="470">
        <f>1000*(E8-E39)</f>
        <v>524.47850308914394</v>
      </c>
      <c r="F44" s="471" t="s">
        <v>328</v>
      </c>
      <c r="G44" s="472">
        <f>1000*(G8-G39)</f>
        <v>524.47850308914394</v>
      </c>
      <c r="H44" s="340">
        <f t="shared" ref="H44" si="4">G44-E44</f>
        <v>0</v>
      </c>
    </row>
    <row r="45" spans="1:8" x14ac:dyDescent="0.25">
      <c r="A45" s="1"/>
      <c r="B45" s="328"/>
      <c r="C45" s="101" t="s">
        <v>329</v>
      </c>
      <c r="D45" s="284"/>
      <c r="E45" s="288">
        <f>E33/E44</f>
        <v>1.6296296296296293</v>
      </c>
      <c r="F45" s="12" t="s">
        <v>209</v>
      </c>
      <c r="G45" s="288">
        <f>G33/G44</f>
        <v>1.6296296296296293</v>
      </c>
      <c r="H45" s="340">
        <f t="shared" ref="H45" si="5">G45-E45</f>
        <v>0</v>
      </c>
    </row>
    <row r="46" spans="1:8" x14ac:dyDescent="0.25">
      <c r="B46" s="165"/>
      <c r="C46" s="558"/>
      <c r="D46" s="564"/>
      <c r="E46" s="561"/>
      <c r="F46" s="561"/>
    </row>
    <row r="47" spans="1:8" x14ac:dyDescent="0.25">
      <c r="B47" s="165"/>
      <c r="C47" s="313"/>
      <c r="D47" s="314"/>
    </row>
    <row r="48" spans="1:8" x14ac:dyDescent="0.25">
      <c r="B48" s="165"/>
      <c r="C48" s="558"/>
      <c r="D48" s="559"/>
      <c r="E48" s="559"/>
      <c r="F48" s="559"/>
    </row>
    <row r="49" spans="3:6" x14ac:dyDescent="0.25">
      <c r="C49" s="555"/>
      <c r="D49" s="555"/>
      <c r="E49" s="555"/>
      <c r="F49" s="555"/>
    </row>
    <row r="50" spans="3:6" x14ac:dyDescent="0.25">
      <c r="C50" s="555"/>
      <c r="D50" s="560"/>
      <c r="E50" s="560"/>
      <c r="F50" s="560"/>
    </row>
    <row r="51" spans="3:6" x14ac:dyDescent="0.25">
      <c r="C51" s="555"/>
      <c r="D51" s="556"/>
      <c r="E51" s="557"/>
      <c r="F51" s="557"/>
    </row>
    <row r="52" spans="3:6" x14ac:dyDescent="0.25">
      <c r="C52" s="555"/>
      <c r="D52" s="556"/>
      <c r="E52" s="557"/>
      <c r="F52" s="557"/>
    </row>
    <row r="53" spans="3:6" x14ac:dyDescent="0.25">
      <c r="C53" s="555"/>
      <c r="D53" s="561"/>
      <c r="E53" s="561"/>
      <c r="F53" s="561"/>
    </row>
    <row r="54" spans="3:6" x14ac:dyDescent="0.25">
      <c r="C54" s="555"/>
      <c r="D54" s="557"/>
      <c r="E54" s="557"/>
      <c r="F54" s="557"/>
    </row>
    <row r="55" spans="3:6" x14ac:dyDescent="0.25">
      <c r="C55" s="555"/>
      <c r="D55" s="556"/>
      <c r="E55" s="557"/>
      <c r="F55" s="557"/>
    </row>
  </sheetData>
  <mergeCells count="10">
    <mergeCell ref="C2:F2"/>
    <mergeCell ref="C46:F46"/>
    <mergeCell ref="C48:F48"/>
    <mergeCell ref="C49:F49"/>
    <mergeCell ref="C55:F55"/>
    <mergeCell ref="C50:F50"/>
    <mergeCell ref="C51:F51"/>
    <mergeCell ref="C52:F52"/>
    <mergeCell ref="C53:F53"/>
    <mergeCell ref="C54:F54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5AD56-9380-403C-8335-105DC805ECED}">
  <dimension ref="A1:H75"/>
  <sheetViews>
    <sheetView showGridLines="0" zoomScale="75" zoomScaleNormal="75" workbookViewId="0">
      <selection activeCell="E4" sqref="E4"/>
    </sheetView>
  </sheetViews>
  <sheetFormatPr baseColWidth="10" defaultRowHeight="15" x14ac:dyDescent="0.25"/>
  <cols>
    <col min="1" max="1" width="45.28515625" customWidth="1"/>
    <col min="2" max="2" width="35" customWidth="1"/>
    <col min="3" max="3" width="10.42578125" customWidth="1"/>
    <col min="4" max="4" width="16.85546875" customWidth="1"/>
    <col min="5" max="5" width="12.5703125" customWidth="1"/>
    <col min="6" max="6" width="8" customWidth="1"/>
    <col min="7" max="7" width="13.85546875" customWidth="1"/>
    <col min="8" max="8" width="13.7109375" customWidth="1"/>
    <col min="9" max="9" width="24.28515625" customWidth="1"/>
    <col min="10" max="10" width="14.85546875" customWidth="1"/>
    <col min="11" max="11" width="7.28515625" customWidth="1"/>
    <col min="12" max="12" width="15" customWidth="1"/>
  </cols>
  <sheetData>
    <row r="1" spans="1:8" ht="30.75" customHeight="1" x14ac:dyDescent="0.25">
      <c r="A1" s="372" t="s">
        <v>52</v>
      </c>
      <c r="G1" s="164" t="s">
        <v>53</v>
      </c>
      <c r="H1" s="334" t="s">
        <v>54</v>
      </c>
    </row>
    <row r="2" spans="1:8" ht="15" customHeight="1" x14ac:dyDescent="0.25">
      <c r="A2" s="1"/>
      <c r="B2" s="373"/>
      <c r="C2" s="374" t="s">
        <v>155</v>
      </c>
      <c r="D2" s="2"/>
      <c r="E2" s="2"/>
      <c r="F2" s="2"/>
      <c r="G2" s="1"/>
      <c r="H2" s="340"/>
    </row>
    <row r="3" spans="1:8" ht="15" customHeight="1" x14ac:dyDescent="0.4">
      <c r="A3" s="123" t="s">
        <v>103</v>
      </c>
      <c r="B3" s="502" t="s">
        <v>361</v>
      </c>
      <c r="C3" s="141"/>
      <c r="D3" s="505" t="s">
        <v>369</v>
      </c>
      <c r="E3" s="23">
        <v>1.2</v>
      </c>
      <c r="F3" s="383" t="s">
        <v>5</v>
      </c>
      <c r="G3" s="400">
        <v>1.2</v>
      </c>
      <c r="H3" s="340">
        <f>G3-E3</f>
        <v>0</v>
      </c>
    </row>
    <row r="4" spans="1:8" ht="15" customHeight="1" x14ac:dyDescent="0.4">
      <c r="A4" s="504" t="s">
        <v>370</v>
      </c>
      <c r="B4" s="508" t="s">
        <v>253</v>
      </c>
      <c r="C4" s="149"/>
      <c r="D4" s="377"/>
      <c r="E4" s="509">
        <f>E6+E14+E25+E36+E47</f>
        <v>1.1999584104706646</v>
      </c>
      <c r="F4" s="510" t="s">
        <v>5</v>
      </c>
      <c r="G4" s="511">
        <f>G6+G14+G25+G36+G47</f>
        <v>1.1999584104706646</v>
      </c>
      <c r="H4" s="340">
        <f t="shared" ref="H4:H34" si="0">G4-E4</f>
        <v>0</v>
      </c>
    </row>
    <row r="5" spans="1:8" ht="15" customHeight="1" x14ac:dyDescent="0.25">
      <c r="A5" s="504" t="s">
        <v>371</v>
      </c>
      <c r="B5" s="501" t="s">
        <v>360</v>
      </c>
      <c r="C5" s="149"/>
      <c r="D5" s="377"/>
      <c r="E5" s="378">
        <v>6.9583372420464933</v>
      </c>
      <c r="F5" s="379" t="s">
        <v>1</v>
      </c>
      <c r="G5" s="511">
        <v>6.9583372420464933</v>
      </c>
      <c r="H5" s="340">
        <f>G5-E5</f>
        <v>0</v>
      </c>
    </row>
    <row r="6" spans="1:8" ht="15" customHeight="1" x14ac:dyDescent="0.25">
      <c r="A6" s="123"/>
      <c r="B6" s="496" t="s">
        <v>368</v>
      </c>
      <c r="C6" s="497"/>
      <c r="D6" s="498" t="s">
        <v>74</v>
      </c>
      <c r="E6" s="499">
        <f>E13</f>
        <v>0.31782192869891701</v>
      </c>
      <c r="F6" s="500" t="s">
        <v>5</v>
      </c>
      <c r="G6" s="511">
        <f>G13</f>
        <v>0.31782192869891701</v>
      </c>
      <c r="H6" s="340">
        <f t="shared" ref="H6:H9" si="1">G6-E6</f>
        <v>0</v>
      </c>
    </row>
    <row r="7" spans="1:8" ht="15" customHeight="1" x14ac:dyDescent="0.35">
      <c r="A7" s="1"/>
      <c r="B7" s="152" t="s">
        <v>75</v>
      </c>
      <c r="C7" s="151" t="s">
        <v>76</v>
      </c>
      <c r="D7" s="151" t="s">
        <v>77</v>
      </c>
      <c r="E7" s="354">
        <v>60</v>
      </c>
      <c r="F7" s="381"/>
      <c r="G7" s="398">
        <v>60</v>
      </c>
      <c r="H7" s="340">
        <f t="shared" si="1"/>
        <v>0</v>
      </c>
    </row>
    <row r="8" spans="1:8" x14ac:dyDescent="0.25">
      <c r="A8" s="123"/>
      <c r="B8" s="75" t="s">
        <v>44</v>
      </c>
      <c r="C8" s="386"/>
      <c r="D8" s="386"/>
      <c r="E8" s="474">
        <v>4</v>
      </c>
      <c r="F8" s="151" t="s">
        <v>21</v>
      </c>
      <c r="G8" s="483">
        <v>4</v>
      </c>
      <c r="H8" s="340">
        <f t="shared" si="1"/>
        <v>0</v>
      </c>
    </row>
    <row r="9" spans="1:8" x14ac:dyDescent="0.25">
      <c r="A9" s="123"/>
      <c r="B9" s="152" t="s">
        <v>367</v>
      </c>
      <c r="C9" s="38"/>
      <c r="D9" s="2"/>
      <c r="E9" s="397">
        <f>E5/E8</f>
        <v>1.7395843105116233</v>
      </c>
      <c r="F9" s="381" t="s">
        <v>1</v>
      </c>
      <c r="G9" s="512">
        <f>G5/G8</f>
        <v>1.7395843105116233</v>
      </c>
      <c r="H9" s="340">
        <f t="shared" si="1"/>
        <v>0</v>
      </c>
    </row>
    <row r="10" spans="1:8" x14ac:dyDescent="0.25">
      <c r="A10" s="1"/>
      <c r="B10" s="171" t="s">
        <v>79</v>
      </c>
      <c r="C10" s="172"/>
      <c r="D10" s="403"/>
      <c r="E10" s="173">
        <v>3.75</v>
      </c>
      <c r="F10" s="387" t="s">
        <v>25</v>
      </c>
      <c r="G10" s="340">
        <v>3.75</v>
      </c>
      <c r="H10" s="340">
        <f t="shared" si="0"/>
        <v>0</v>
      </c>
    </row>
    <row r="11" spans="1:8" x14ac:dyDescent="0.25">
      <c r="A11" s="426" t="s">
        <v>84</v>
      </c>
      <c r="B11" s="174" t="s">
        <v>80</v>
      </c>
      <c r="C11" s="172"/>
      <c r="D11" s="403"/>
      <c r="E11" s="173">
        <v>2</v>
      </c>
      <c r="F11" s="388" t="s">
        <v>10</v>
      </c>
      <c r="G11" s="340">
        <v>2</v>
      </c>
      <c r="H11" s="340">
        <f t="shared" si="0"/>
        <v>0</v>
      </c>
    </row>
    <row r="12" spans="1:8" x14ac:dyDescent="0.25">
      <c r="A12" s="1"/>
      <c r="B12" s="139" t="s">
        <v>81</v>
      </c>
      <c r="C12" s="54"/>
      <c r="D12" s="2"/>
      <c r="E12" s="40">
        <f>0.001*E9/(0.25*3.14*(0.0254*E11)^2)</f>
        <v>0.85871371783922434</v>
      </c>
      <c r="F12" s="151" t="s">
        <v>11</v>
      </c>
      <c r="G12" s="399">
        <f>0.001*G9/(0.25*3.14*(0.0254*G11)^2)</f>
        <v>0.85871371783922434</v>
      </c>
      <c r="H12" s="340">
        <f t="shared" si="0"/>
        <v>0</v>
      </c>
    </row>
    <row r="13" spans="1:8" x14ac:dyDescent="0.25">
      <c r="A13" s="165" t="s">
        <v>117</v>
      </c>
      <c r="B13" s="139" t="s">
        <v>33</v>
      </c>
      <c r="C13" s="54"/>
      <c r="D13" s="2"/>
      <c r="E13" s="40">
        <f>(10.672*E10*(0.001*E9/E7)^1.852)/(0.0254*E11)^4.871</f>
        <v>0.31782192869891701</v>
      </c>
      <c r="F13" s="151" t="s">
        <v>5</v>
      </c>
      <c r="G13" s="399">
        <f>(10.672*G10*(0.001*G9/G7)^1.852)/(0.0254*G11)^4.871</f>
        <v>0.31782192869891701</v>
      </c>
      <c r="H13" s="340">
        <f t="shared" si="0"/>
        <v>0</v>
      </c>
    </row>
    <row r="14" spans="1:8" ht="15.75" x14ac:dyDescent="0.25">
      <c r="A14" s="1"/>
      <c r="B14" s="496" t="s">
        <v>358</v>
      </c>
      <c r="C14" s="497"/>
      <c r="D14" s="498" t="s">
        <v>74</v>
      </c>
      <c r="E14" s="499">
        <f>E20+E23+E24</f>
        <v>0.17069455309312137</v>
      </c>
      <c r="F14" s="500" t="s">
        <v>5</v>
      </c>
      <c r="G14" s="511">
        <f>G20+G23+G24</f>
        <v>0.17069455309312137</v>
      </c>
      <c r="H14" s="340"/>
    </row>
    <row r="15" spans="1:8" ht="18.75" x14ac:dyDescent="0.35">
      <c r="A15" s="1"/>
      <c r="B15" s="152" t="s">
        <v>75</v>
      </c>
      <c r="C15" s="151" t="s">
        <v>111</v>
      </c>
      <c r="D15" s="151" t="s">
        <v>77</v>
      </c>
      <c r="E15" s="354">
        <f>E7</f>
        <v>60</v>
      </c>
      <c r="F15" s="381"/>
      <c r="G15" s="398">
        <f>G7</f>
        <v>60</v>
      </c>
      <c r="H15" s="340">
        <f t="shared" si="0"/>
        <v>0</v>
      </c>
    </row>
    <row r="16" spans="1:8" x14ac:dyDescent="0.25">
      <c r="A16" s="1"/>
      <c r="B16" s="152" t="s">
        <v>78</v>
      </c>
      <c r="C16" s="38"/>
      <c r="D16" s="2"/>
      <c r="E16" s="397">
        <f>E5/2</f>
        <v>3.4791686210232466</v>
      </c>
      <c r="F16" s="381" t="s">
        <v>1</v>
      </c>
      <c r="G16" s="512">
        <f>G5/2</f>
        <v>3.4791686210232466</v>
      </c>
      <c r="H16" s="340">
        <f t="shared" si="0"/>
        <v>0</v>
      </c>
    </row>
    <row r="17" spans="1:8" x14ac:dyDescent="0.25">
      <c r="A17" s="1"/>
      <c r="B17" s="171" t="s">
        <v>79</v>
      </c>
      <c r="C17" s="172"/>
      <c r="D17" s="403"/>
      <c r="E17" s="173">
        <v>1.5</v>
      </c>
      <c r="F17" s="387" t="s">
        <v>25</v>
      </c>
      <c r="G17" s="340">
        <v>1.5</v>
      </c>
      <c r="H17" s="340">
        <f t="shared" si="0"/>
        <v>0</v>
      </c>
    </row>
    <row r="18" spans="1:8" x14ac:dyDescent="0.25">
      <c r="A18" s="1"/>
      <c r="B18" s="174" t="s">
        <v>80</v>
      </c>
      <c r="C18" s="172"/>
      <c r="D18" s="403"/>
      <c r="E18" s="173">
        <v>3</v>
      </c>
      <c r="F18" s="388" t="s">
        <v>10</v>
      </c>
      <c r="G18" s="340">
        <v>3</v>
      </c>
      <c r="H18" s="340">
        <f t="shared" si="0"/>
        <v>0</v>
      </c>
    </row>
    <row r="19" spans="1:8" x14ac:dyDescent="0.25">
      <c r="A19" s="1"/>
      <c r="B19" s="139" t="s">
        <v>81</v>
      </c>
      <c r="C19" s="54"/>
      <c r="D19" s="2"/>
      <c r="E19" s="40">
        <f>0.001*E16/(0.25*3.14*(0.0254*E18)^2)</f>
        <v>0.76330108252375506</v>
      </c>
      <c r="F19" s="151" t="s">
        <v>11</v>
      </c>
      <c r="G19" s="399">
        <f>0.001*G16/(0.25*3.14*(0.0254*G18)^2)</f>
        <v>0.76330108252375506</v>
      </c>
      <c r="H19" s="340">
        <f t="shared" si="0"/>
        <v>0</v>
      </c>
    </row>
    <row r="20" spans="1:8" x14ac:dyDescent="0.25">
      <c r="A20" s="165" t="s">
        <v>117</v>
      </c>
      <c r="B20" s="140" t="s">
        <v>33</v>
      </c>
      <c r="C20" s="141"/>
      <c r="D20" s="2"/>
      <c r="E20" s="23">
        <f>(10.672*E17*(0.001*E16/E15)^1.852)/(0.0254*E18)^4.871</f>
        <v>6.3681147312765723E-2</v>
      </c>
      <c r="F20" s="383" t="s">
        <v>5</v>
      </c>
      <c r="G20" s="400">
        <f>(10.672*G17*(0.001*G16/G15)^1.852)/(0.0254*G18)^4.871</f>
        <v>6.3681147312765723E-2</v>
      </c>
      <c r="H20" s="340">
        <f t="shared" si="0"/>
        <v>0</v>
      </c>
    </row>
    <row r="21" spans="1:8" x14ac:dyDescent="0.25">
      <c r="A21" s="1"/>
      <c r="B21" s="139" t="s">
        <v>37</v>
      </c>
      <c r="C21" s="54"/>
      <c r="D21" s="2"/>
      <c r="E21" s="40">
        <f>E19^2/19.6</f>
        <v>2.9725946050098789E-2</v>
      </c>
      <c r="F21" s="151" t="s">
        <v>5</v>
      </c>
      <c r="G21" s="399">
        <f>G19^2/19.6</f>
        <v>2.9725946050098789E-2</v>
      </c>
      <c r="H21" s="340">
        <f t="shared" si="0"/>
        <v>0</v>
      </c>
    </row>
    <row r="22" spans="1:8" x14ac:dyDescent="0.25">
      <c r="A22" s="1"/>
      <c r="B22" s="88" t="s">
        <v>38</v>
      </c>
      <c r="C22" s="404" t="s">
        <v>56</v>
      </c>
      <c r="D22" s="404" t="s">
        <v>82</v>
      </c>
      <c r="E22" s="405" t="s">
        <v>270</v>
      </c>
      <c r="F22" s="49"/>
      <c r="G22" s="513" t="s">
        <v>254</v>
      </c>
      <c r="H22" s="340"/>
    </row>
    <row r="23" spans="1:8" x14ac:dyDescent="0.25">
      <c r="A23" s="123" t="s">
        <v>108</v>
      </c>
      <c r="B23" s="51" t="s">
        <v>109</v>
      </c>
      <c r="C23" s="154">
        <v>0.9</v>
      </c>
      <c r="D23" s="155">
        <v>2</v>
      </c>
      <c r="E23" s="39">
        <f>C23*D23*E21</f>
        <v>5.3506702890177824E-2</v>
      </c>
      <c r="F23" s="380" t="s">
        <v>5</v>
      </c>
      <c r="G23" s="340">
        <f>C23*D23*G21</f>
        <v>5.3506702890177824E-2</v>
      </c>
      <c r="H23" s="340">
        <f t="shared" si="0"/>
        <v>0</v>
      </c>
    </row>
    <row r="24" spans="1:8" x14ac:dyDescent="0.25">
      <c r="A24" s="123" t="s">
        <v>108</v>
      </c>
      <c r="B24" s="51" t="s">
        <v>104</v>
      </c>
      <c r="C24" s="154">
        <v>1.8</v>
      </c>
      <c r="D24" s="155">
        <v>1</v>
      </c>
      <c r="E24" s="39">
        <f>C24*D24*E21</f>
        <v>5.3506702890177824E-2</v>
      </c>
      <c r="F24" s="380" t="s">
        <v>5</v>
      </c>
      <c r="G24" s="340">
        <f>C24*D24*G21</f>
        <v>5.3506702890177824E-2</v>
      </c>
      <c r="H24" s="340">
        <f t="shared" ref="H24" si="2">G24-E24</f>
        <v>0</v>
      </c>
    </row>
    <row r="25" spans="1:8" ht="15.75" x14ac:dyDescent="0.25">
      <c r="A25" s="1"/>
      <c r="B25" s="496" t="s">
        <v>229</v>
      </c>
      <c r="C25" s="497"/>
      <c r="D25" s="498" t="s">
        <v>74</v>
      </c>
      <c r="E25" s="499">
        <f>E31+E34+E35</f>
        <v>0.53797893502568406</v>
      </c>
      <c r="F25" s="500" t="s">
        <v>5</v>
      </c>
      <c r="G25" s="511">
        <f>G31+G34+G35</f>
        <v>0.53797893502568406</v>
      </c>
      <c r="H25" s="340">
        <f t="shared" si="0"/>
        <v>0</v>
      </c>
    </row>
    <row r="26" spans="1:8" ht="18.75" x14ac:dyDescent="0.35">
      <c r="A26" s="1"/>
      <c r="B26" s="152" t="s">
        <v>75</v>
      </c>
      <c r="C26" s="151" t="s">
        <v>76</v>
      </c>
      <c r="D26" s="151" t="s">
        <v>77</v>
      </c>
      <c r="E26" s="354">
        <f>E7</f>
        <v>60</v>
      </c>
      <c r="F26" s="381"/>
      <c r="G26" s="398">
        <f>G7</f>
        <v>60</v>
      </c>
      <c r="H26" s="340">
        <f t="shared" si="0"/>
        <v>0</v>
      </c>
    </row>
    <row r="27" spans="1:8" x14ac:dyDescent="0.25">
      <c r="A27" s="1"/>
      <c r="B27" s="152" t="s">
        <v>107</v>
      </c>
      <c r="C27" s="38"/>
      <c r="D27" s="2"/>
      <c r="E27" s="397">
        <f>E5</f>
        <v>6.9583372420464933</v>
      </c>
      <c r="F27" s="381" t="s">
        <v>1</v>
      </c>
      <c r="G27" s="512">
        <f>G5</f>
        <v>6.9583372420464933</v>
      </c>
      <c r="H27" s="340">
        <f t="shared" si="0"/>
        <v>0</v>
      </c>
    </row>
    <row r="28" spans="1:8" x14ac:dyDescent="0.25">
      <c r="A28" s="1"/>
      <c r="B28" s="171" t="s">
        <v>79</v>
      </c>
      <c r="C28" s="172"/>
      <c r="D28" s="403"/>
      <c r="E28" s="173">
        <f>0.85+0.1</f>
        <v>0.95</v>
      </c>
      <c r="F28" s="387" t="s">
        <v>25</v>
      </c>
      <c r="G28" s="340">
        <f>0.85+0.1</f>
        <v>0.95</v>
      </c>
      <c r="H28" s="340">
        <f t="shared" si="0"/>
        <v>0</v>
      </c>
    </row>
    <row r="29" spans="1:8" x14ac:dyDescent="0.25">
      <c r="A29" s="1"/>
      <c r="B29" s="174" t="s">
        <v>80</v>
      </c>
      <c r="C29" s="172"/>
      <c r="D29" s="403"/>
      <c r="E29" s="173">
        <v>3</v>
      </c>
      <c r="F29" s="388" t="s">
        <v>10</v>
      </c>
      <c r="G29" s="340">
        <v>3</v>
      </c>
      <c r="H29" s="340">
        <f t="shared" si="0"/>
        <v>0</v>
      </c>
    </row>
    <row r="30" spans="1:8" x14ac:dyDescent="0.25">
      <c r="A30" s="1"/>
      <c r="B30" s="139" t="s">
        <v>81</v>
      </c>
      <c r="C30" s="54"/>
      <c r="D30" s="2"/>
      <c r="E30" s="40">
        <f>0.001*E27/(0.25*3.14*(0.0254*E29)^2)</f>
        <v>1.5266021650475101</v>
      </c>
      <c r="F30" s="151" t="s">
        <v>11</v>
      </c>
      <c r="G30" s="399">
        <f>0.001*G27/(0.25*3.14*(0.0254*G29)^2)</f>
        <v>1.5266021650475101</v>
      </c>
      <c r="H30" s="340">
        <f t="shared" si="0"/>
        <v>0</v>
      </c>
    </row>
    <row r="31" spans="1:8" x14ac:dyDescent="0.25">
      <c r="A31" s="165" t="s">
        <v>117</v>
      </c>
      <c r="B31" s="140" t="s">
        <v>33</v>
      </c>
      <c r="C31" s="141"/>
      <c r="D31" s="2"/>
      <c r="E31" s="23">
        <f>(10.672*E28*(0.001*E27/E26)^1.852)/(0.0254*E29)^4.871</f>
        <v>0.14559644716438011</v>
      </c>
      <c r="F31" s="383" t="s">
        <v>5</v>
      </c>
      <c r="G31" s="400">
        <v>0.14559644716438011</v>
      </c>
      <c r="H31" s="340">
        <f t="shared" si="0"/>
        <v>0</v>
      </c>
    </row>
    <row r="32" spans="1:8" x14ac:dyDescent="0.25">
      <c r="A32" s="1"/>
      <c r="B32" s="139" t="s">
        <v>37</v>
      </c>
      <c r="C32" s="54"/>
      <c r="D32" s="2"/>
      <c r="E32" s="40">
        <f>E30^2/19.6</f>
        <v>0.11890378420039516</v>
      </c>
      <c r="F32" s="151" t="s">
        <v>5</v>
      </c>
      <c r="G32" s="399">
        <f>G30^2/19.6</f>
        <v>0.11890378420039516</v>
      </c>
      <c r="H32" s="340">
        <f t="shared" si="0"/>
        <v>0</v>
      </c>
    </row>
    <row r="33" spans="1:8" x14ac:dyDescent="0.25">
      <c r="A33" s="1"/>
      <c r="B33" s="88" t="s">
        <v>38</v>
      </c>
      <c r="C33" s="404" t="s">
        <v>56</v>
      </c>
      <c r="D33" s="404" t="s">
        <v>82</v>
      </c>
      <c r="E33" s="405" t="s">
        <v>270</v>
      </c>
      <c r="F33" s="49"/>
      <c r="G33" s="513" t="s">
        <v>254</v>
      </c>
      <c r="H33" s="340"/>
    </row>
    <row r="34" spans="1:8" x14ac:dyDescent="0.25">
      <c r="A34" s="123" t="s">
        <v>108</v>
      </c>
      <c r="B34" s="51" t="s">
        <v>109</v>
      </c>
      <c r="C34" s="154">
        <v>0.9</v>
      </c>
      <c r="D34" s="155">
        <v>2</v>
      </c>
      <c r="E34" s="39">
        <f>C34*D34*E32</f>
        <v>0.21402681156071129</v>
      </c>
      <c r="F34" s="380" t="s">
        <v>5</v>
      </c>
      <c r="G34" s="340">
        <f>C34*D34*G32</f>
        <v>0.21402681156071129</v>
      </c>
      <c r="H34" s="340">
        <f t="shared" si="0"/>
        <v>0</v>
      </c>
    </row>
    <row r="35" spans="1:8" x14ac:dyDescent="0.25">
      <c r="A35" s="123"/>
      <c r="B35" s="51" t="s">
        <v>345</v>
      </c>
      <c r="C35" s="154">
        <v>1.5</v>
      </c>
      <c r="D35" s="155">
        <v>1</v>
      </c>
      <c r="E35" s="39">
        <f>C35*D35*E32</f>
        <v>0.17835567630059274</v>
      </c>
      <c r="F35" s="380" t="s">
        <v>5</v>
      </c>
      <c r="G35" s="340">
        <f>C35*D35*G32</f>
        <v>0.17835567630059274</v>
      </c>
      <c r="H35" s="340">
        <f t="shared" ref="H35:H37" si="3">G35-E35</f>
        <v>0</v>
      </c>
    </row>
    <row r="36" spans="1:8" x14ac:dyDescent="0.25">
      <c r="A36" s="1"/>
      <c r="B36" s="493" t="s">
        <v>112</v>
      </c>
      <c r="C36" s="494"/>
      <c r="D36" s="503" t="s">
        <v>74</v>
      </c>
      <c r="E36" s="94">
        <f>SUM(E50:E75)</f>
        <v>4.8140924923494623E-2</v>
      </c>
      <c r="F36" s="495" t="s">
        <v>5</v>
      </c>
      <c r="G36" s="400">
        <f>SUM(G50:G75)</f>
        <v>4.8140924923494623E-2</v>
      </c>
      <c r="H36" s="340">
        <f t="shared" si="3"/>
        <v>0</v>
      </c>
    </row>
    <row r="37" spans="1:8" ht="18.75" x14ac:dyDescent="0.35">
      <c r="A37" s="1"/>
      <c r="B37" s="51" t="s">
        <v>75</v>
      </c>
      <c r="C37" s="151" t="s">
        <v>76</v>
      </c>
      <c r="D37" s="151" t="s">
        <v>113</v>
      </c>
      <c r="E37" s="354">
        <v>150</v>
      </c>
      <c r="F37" s="381"/>
      <c r="G37" s="398">
        <v>150</v>
      </c>
      <c r="H37" s="340">
        <f t="shared" si="3"/>
        <v>0</v>
      </c>
    </row>
    <row r="38" spans="1:8" x14ac:dyDescent="0.25">
      <c r="A38" s="1"/>
      <c r="B38" s="139" t="s">
        <v>364</v>
      </c>
      <c r="C38" s="386"/>
      <c r="D38" s="386"/>
      <c r="E38" s="40">
        <f>E5</f>
        <v>6.9583372420464933</v>
      </c>
      <c r="F38" s="151" t="s">
        <v>1</v>
      </c>
      <c r="G38" s="399">
        <f>G5</f>
        <v>6.9583372420464933</v>
      </c>
      <c r="H38" s="340">
        <f>G38-E38</f>
        <v>0</v>
      </c>
    </row>
    <row r="39" spans="1:8" x14ac:dyDescent="0.25">
      <c r="A39" s="123" t="s">
        <v>103</v>
      </c>
      <c r="B39" s="75" t="s">
        <v>184</v>
      </c>
      <c r="C39" s="386"/>
      <c r="D39" s="386"/>
      <c r="E39" s="40">
        <v>4.5999999999999996</v>
      </c>
      <c r="F39" s="151" t="s">
        <v>5</v>
      </c>
      <c r="G39" s="399">
        <v>4.5999999999999996</v>
      </c>
      <c r="H39" s="340">
        <f>G39-E39</f>
        <v>0</v>
      </c>
    </row>
    <row r="40" spans="1:8" x14ac:dyDescent="0.25">
      <c r="A40" s="426" t="s">
        <v>84</v>
      </c>
      <c r="B40" s="75" t="s">
        <v>363</v>
      </c>
      <c r="C40" s="386"/>
      <c r="D40" s="386"/>
      <c r="E40" s="40">
        <v>0.2</v>
      </c>
      <c r="F40" s="151" t="s">
        <v>5</v>
      </c>
      <c r="G40" s="399">
        <v>0.2</v>
      </c>
      <c r="H40" s="340">
        <f>G40-E40</f>
        <v>0</v>
      </c>
    </row>
    <row r="41" spans="1:8" x14ac:dyDescent="0.25">
      <c r="A41" s="123"/>
      <c r="B41" s="75" t="s">
        <v>365</v>
      </c>
      <c r="C41" s="386"/>
      <c r="D41" s="488"/>
      <c r="E41" s="474">
        <f>2*E39/E40</f>
        <v>45.999999999999993</v>
      </c>
      <c r="F41" s="151" t="s">
        <v>21</v>
      </c>
      <c r="G41" s="483">
        <f>2*G39/G40</f>
        <v>45.999999999999993</v>
      </c>
      <c r="H41" s="340">
        <f>G41-E41</f>
        <v>0</v>
      </c>
    </row>
    <row r="42" spans="1:8" x14ac:dyDescent="0.25">
      <c r="A42" s="123"/>
      <c r="B42" s="81" t="s">
        <v>141</v>
      </c>
      <c r="C42" s="27"/>
      <c r="D42" s="386"/>
      <c r="E42" s="193">
        <f>E5/E41</f>
        <v>0.15126820091405421</v>
      </c>
      <c r="F42" s="514" t="s">
        <v>1</v>
      </c>
      <c r="G42" s="517">
        <f>G5/G41</f>
        <v>0.15126820091405421</v>
      </c>
      <c r="H42" s="340">
        <f>G42-E42</f>
        <v>0</v>
      </c>
    </row>
    <row r="43" spans="1:8" x14ac:dyDescent="0.25">
      <c r="A43" s="123"/>
      <c r="B43" s="145" t="s">
        <v>136</v>
      </c>
      <c r="C43" s="229" t="s">
        <v>156</v>
      </c>
      <c r="D43" s="386"/>
      <c r="E43" s="194">
        <f>0.0254/2</f>
        <v>1.2699999999999999E-2</v>
      </c>
      <c r="F43" s="146" t="s">
        <v>5</v>
      </c>
      <c r="G43" s="518">
        <f>0.0254/2</f>
        <v>1.2699999999999999E-2</v>
      </c>
      <c r="H43" s="340">
        <f t="shared" ref="H43:H47" si="4">G43-E43</f>
        <v>0</v>
      </c>
    </row>
    <row r="44" spans="1:8" x14ac:dyDescent="0.25">
      <c r="A44" s="123"/>
      <c r="B44" s="81" t="s">
        <v>200</v>
      </c>
      <c r="C44" s="27"/>
      <c r="D44" s="386"/>
      <c r="E44" s="192">
        <f>0.25*3.143*E43^2</f>
        <v>1.2673361749999999E-4</v>
      </c>
      <c r="F44" s="514" t="s">
        <v>4</v>
      </c>
      <c r="G44" s="519">
        <f>0.25*3.143*G43^2</f>
        <v>1.2673361749999999E-4</v>
      </c>
      <c r="H44" s="340">
        <f t="shared" si="4"/>
        <v>0</v>
      </c>
    </row>
    <row r="45" spans="1:8" x14ac:dyDescent="0.25">
      <c r="A45" s="123"/>
      <c r="B45" s="41" t="s">
        <v>35</v>
      </c>
      <c r="C45" s="42" t="s">
        <v>29</v>
      </c>
      <c r="D45" s="386"/>
      <c r="E45" s="43">
        <v>0.57999999999999996</v>
      </c>
      <c r="F45" s="515"/>
      <c r="G45" s="520">
        <v>0.57999999999999996</v>
      </c>
      <c r="H45" s="340">
        <f>G45-E45</f>
        <v>0</v>
      </c>
    </row>
    <row r="46" spans="1:8" x14ac:dyDescent="0.25">
      <c r="A46" s="123"/>
      <c r="B46" s="145" t="s">
        <v>138</v>
      </c>
      <c r="C46" s="146"/>
      <c r="D46" s="386"/>
      <c r="E46" s="147">
        <f>0.001*E42/(E45^0.5*E44)</f>
        <v>1.567262756240055</v>
      </c>
      <c r="F46" s="146" t="s">
        <v>11</v>
      </c>
      <c r="G46" s="340">
        <f>0.001*G42/(G45^0.5*G44)</f>
        <v>1.567262756240055</v>
      </c>
      <c r="H46" s="340">
        <f t="shared" si="4"/>
        <v>0</v>
      </c>
    </row>
    <row r="47" spans="1:8" x14ac:dyDescent="0.25">
      <c r="A47" s="123"/>
      <c r="B47" s="485" t="s">
        <v>366</v>
      </c>
      <c r="C47" s="489"/>
      <c r="D47" s="489"/>
      <c r="E47" s="490">
        <f>E46^2/19.6</f>
        <v>0.12532206872944762</v>
      </c>
      <c r="F47" s="516" t="s">
        <v>5</v>
      </c>
      <c r="G47" s="521">
        <f>G46^2/19.6</f>
        <v>0.12532206872944762</v>
      </c>
      <c r="H47" s="340">
        <f t="shared" si="4"/>
        <v>0</v>
      </c>
    </row>
    <row r="48" spans="1:8" x14ac:dyDescent="0.25">
      <c r="A48" s="1"/>
      <c r="B48" s="406" t="s">
        <v>102</v>
      </c>
      <c r="C48" s="406" t="s">
        <v>114</v>
      </c>
      <c r="D48" s="406" t="s">
        <v>115</v>
      </c>
      <c r="E48" s="406" t="s">
        <v>116</v>
      </c>
      <c r="F48" s="49"/>
      <c r="G48" s="406" t="s">
        <v>116</v>
      </c>
    </row>
    <row r="49" spans="1:7" x14ac:dyDescent="0.25">
      <c r="A49" s="1"/>
      <c r="B49" s="407"/>
      <c r="C49" s="407" t="s">
        <v>10</v>
      </c>
      <c r="D49" s="407" t="s">
        <v>1</v>
      </c>
      <c r="E49" s="407" t="s">
        <v>5</v>
      </c>
      <c r="F49" s="49"/>
      <c r="G49" s="407" t="s">
        <v>5</v>
      </c>
    </row>
    <row r="50" spans="1:7" ht="15" customHeight="1" x14ac:dyDescent="0.25">
      <c r="A50" s="1"/>
      <c r="B50" s="491">
        <v>1</v>
      </c>
      <c r="C50" s="491">
        <v>3</v>
      </c>
      <c r="D50" s="492">
        <f>E38</f>
        <v>6.9583372420464933</v>
      </c>
      <c r="E50" s="142">
        <f>(10.672*$E$40*(0.001*D50/$E$37)^1.852)/(0.0254*C50)^4.871</f>
        <v>5.6165841725570693E-3</v>
      </c>
      <c r="F50" s="85"/>
      <c r="G50" s="142">
        <f>(10.672*$G$40*(0.001*D50/$G$37)^1.852)/(0.0254*C50)^4.871</f>
        <v>5.6165841725570693E-3</v>
      </c>
    </row>
    <row r="51" spans="1:7" ht="15" customHeight="1" x14ac:dyDescent="0.25">
      <c r="A51" s="1"/>
      <c r="B51" s="491">
        <f>B50+1</f>
        <v>2</v>
      </c>
      <c r="C51" s="491">
        <v>3</v>
      </c>
      <c r="D51" s="492">
        <f>MAX(0,D50-2*$E$42)</f>
        <v>6.6558008402183848</v>
      </c>
      <c r="E51" s="142">
        <f t="shared" ref="E51:E75" si="5">(10.672*$E$40*(0.001*D51/$E$37)^1.852)/(0.0254*C51)^4.871</f>
        <v>5.1727218311697146E-3</v>
      </c>
      <c r="F51" s="85"/>
      <c r="G51" s="142">
        <f>(10.672*$G$40*(0.001*D51/$G$37)^1.852)/(0.0254*C51)^4.871</f>
        <v>5.1727218311697146E-3</v>
      </c>
    </row>
    <row r="52" spans="1:7" ht="15" customHeight="1" x14ac:dyDescent="0.25">
      <c r="A52" s="1"/>
      <c r="B52" s="491">
        <f t="shared" ref="B52:B75" si="6">B51+1</f>
        <v>3</v>
      </c>
      <c r="C52" s="491">
        <v>3</v>
      </c>
      <c r="D52" s="492">
        <f t="shared" ref="D52:D75" si="7">MAX(0,D51-2*$E$42)</f>
        <v>6.3532644383902763</v>
      </c>
      <c r="E52" s="142">
        <f t="shared" si="5"/>
        <v>4.7457237405011165E-3</v>
      </c>
      <c r="F52" s="49"/>
      <c r="G52" s="142">
        <f t="shared" ref="G52:G75" si="8">(10.672*$G$40*(0.001*D52/$G$37)^1.852)/(0.0254*C52)^4.871</f>
        <v>4.7457237405011165E-3</v>
      </c>
    </row>
    <row r="53" spans="1:7" ht="15" customHeight="1" x14ac:dyDescent="0.25">
      <c r="A53" s="1"/>
      <c r="B53" s="491">
        <f t="shared" si="6"/>
        <v>4</v>
      </c>
      <c r="C53" s="491">
        <v>3</v>
      </c>
      <c r="D53" s="492">
        <f t="shared" si="7"/>
        <v>6.0507280365621678</v>
      </c>
      <c r="E53" s="142">
        <f t="shared" si="5"/>
        <v>4.3357064593878931E-3</v>
      </c>
      <c r="F53" s="49"/>
      <c r="G53" s="142">
        <f t="shared" si="8"/>
        <v>4.3357064593878931E-3</v>
      </c>
    </row>
    <row r="54" spans="1:7" ht="15" customHeight="1" x14ac:dyDescent="0.25">
      <c r="A54" s="1"/>
      <c r="B54" s="491">
        <f t="shared" si="6"/>
        <v>5</v>
      </c>
      <c r="C54" s="491">
        <v>3</v>
      </c>
      <c r="D54" s="492">
        <f t="shared" si="7"/>
        <v>5.7481916347340594</v>
      </c>
      <c r="E54" s="142">
        <f t="shared" si="5"/>
        <v>3.9427931054294169E-3</v>
      </c>
      <c r="F54" s="49"/>
      <c r="G54" s="142">
        <f t="shared" si="8"/>
        <v>3.9427931054294169E-3</v>
      </c>
    </row>
    <row r="55" spans="1:7" ht="15" customHeight="1" x14ac:dyDescent="0.25">
      <c r="A55" s="1"/>
      <c r="B55" s="491">
        <f t="shared" si="6"/>
        <v>6</v>
      </c>
      <c r="C55" s="491">
        <v>3</v>
      </c>
      <c r="D55" s="492">
        <f t="shared" si="7"/>
        <v>5.4456552329059509</v>
      </c>
      <c r="E55" s="142">
        <f t="shared" si="5"/>
        <v>3.5671140815825859E-3</v>
      </c>
      <c r="F55" s="49"/>
      <c r="G55" s="142">
        <f t="shared" si="8"/>
        <v>3.5671140815825859E-3</v>
      </c>
    </row>
    <row r="56" spans="1:7" ht="15" customHeight="1" x14ac:dyDescent="0.25">
      <c r="A56" s="1"/>
      <c r="B56" s="491">
        <f t="shared" si="6"/>
        <v>7</v>
      </c>
      <c r="C56" s="491">
        <v>3</v>
      </c>
      <c r="D56" s="492">
        <f t="shared" si="7"/>
        <v>5.1431188310778424</v>
      </c>
      <c r="E56" s="142">
        <f t="shared" si="5"/>
        <v>3.2088079272265288E-3</v>
      </c>
      <c r="F56" s="49"/>
      <c r="G56" s="142">
        <f t="shared" si="8"/>
        <v>3.2088079272265288E-3</v>
      </c>
    </row>
    <row r="57" spans="1:7" ht="15" customHeight="1" x14ac:dyDescent="0.25">
      <c r="A57" s="1"/>
      <c r="B57" s="491">
        <f t="shared" si="6"/>
        <v>8</v>
      </c>
      <c r="C57" s="491">
        <v>3</v>
      </c>
      <c r="D57" s="492">
        <f t="shared" si="7"/>
        <v>4.8405824292497339</v>
      </c>
      <c r="E57" s="142">
        <f t="shared" si="5"/>
        <v>2.8680223234337646E-3</v>
      </c>
      <c r="F57" s="49"/>
      <c r="G57" s="142">
        <f t="shared" si="8"/>
        <v>2.8680223234337646E-3</v>
      </c>
    </row>
    <row r="58" spans="1:7" ht="15" customHeight="1" x14ac:dyDescent="0.25">
      <c r="A58" s="1"/>
      <c r="B58" s="491">
        <f t="shared" si="6"/>
        <v>9</v>
      </c>
      <c r="C58" s="491">
        <v>3</v>
      </c>
      <c r="D58" s="492">
        <f t="shared" si="7"/>
        <v>4.5380460274216254</v>
      </c>
      <c r="E58" s="142">
        <f t="shared" si="5"/>
        <v>2.5449152915475999E-3</v>
      </c>
      <c r="F58" s="49"/>
      <c r="G58" s="142">
        <f t="shared" si="8"/>
        <v>2.5449152915475999E-3</v>
      </c>
    </row>
    <row r="59" spans="1:7" ht="15" customHeight="1" x14ac:dyDescent="0.25">
      <c r="A59" s="1"/>
      <c r="B59" s="491">
        <f t="shared" si="6"/>
        <v>10</v>
      </c>
      <c r="C59" s="491">
        <v>3</v>
      </c>
      <c r="D59" s="492">
        <f t="shared" si="7"/>
        <v>4.235509625593517</v>
      </c>
      <c r="E59" s="142">
        <f t="shared" si="5"/>
        <v>2.2396566372839787E-3</v>
      </c>
      <c r="F59" s="49"/>
      <c r="G59" s="142">
        <f t="shared" si="8"/>
        <v>2.2396566372839787E-3</v>
      </c>
    </row>
    <row r="60" spans="1:7" ht="15" customHeight="1" x14ac:dyDescent="0.25">
      <c r="A60" s="1"/>
      <c r="B60" s="491">
        <f t="shared" si="6"/>
        <v>11</v>
      </c>
      <c r="C60" s="491">
        <v>3</v>
      </c>
      <c r="D60" s="492">
        <f t="shared" si="7"/>
        <v>3.9329732237654085</v>
      </c>
      <c r="E60" s="142">
        <f t="shared" si="5"/>
        <v>1.9524297113240035E-3</v>
      </c>
      <c r="F60" s="49"/>
      <c r="G60" s="142">
        <f t="shared" si="8"/>
        <v>1.9524297113240035E-3</v>
      </c>
    </row>
    <row r="61" spans="1:7" ht="15" customHeight="1" x14ac:dyDescent="0.25">
      <c r="A61" s="1"/>
      <c r="B61" s="491">
        <f t="shared" si="6"/>
        <v>12</v>
      </c>
      <c r="C61" s="491">
        <v>3</v>
      </c>
      <c r="D61" s="492">
        <f t="shared" si="7"/>
        <v>3.6304368219373</v>
      </c>
      <c r="E61" s="142">
        <f t="shared" si="5"/>
        <v>1.6834335847627712E-3</v>
      </c>
      <c r="F61" s="49"/>
      <c r="G61" s="142">
        <f t="shared" si="8"/>
        <v>1.6834335847627712E-3</v>
      </c>
    </row>
    <row r="62" spans="1:7" ht="15" customHeight="1" x14ac:dyDescent="0.25">
      <c r="A62" s="1"/>
      <c r="B62" s="491">
        <f t="shared" si="6"/>
        <v>13</v>
      </c>
      <c r="C62" s="491">
        <v>3</v>
      </c>
      <c r="D62" s="492">
        <f t="shared" si="7"/>
        <v>3.3279004201091915</v>
      </c>
      <c r="E62" s="142">
        <f t="shared" si="5"/>
        <v>1.4328857788607804E-3</v>
      </c>
      <c r="F62" s="49"/>
      <c r="G62" s="142">
        <f t="shared" si="8"/>
        <v>1.4328857788607804E-3</v>
      </c>
    </row>
    <row r="63" spans="1:7" ht="15" customHeight="1" x14ac:dyDescent="0.25">
      <c r="A63" s="1"/>
      <c r="B63" s="491">
        <f t="shared" si="6"/>
        <v>14</v>
      </c>
      <c r="C63" s="491">
        <v>3</v>
      </c>
      <c r="D63" s="492">
        <f t="shared" si="7"/>
        <v>3.025364018281083</v>
      </c>
      <c r="E63" s="142">
        <f t="shared" si="5"/>
        <v>1.201025751962174E-3</v>
      </c>
      <c r="F63" s="49"/>
      <c r="G63" s="142">
        <f t="shared" si="8"/>
        <v>1.201025751962174E-3</v>
      </c>
    </row>
    <row r="64" spans="1:7" ht="15" customHeight="1" x14ac:dyDescent="0.25">
      <c r="A64" s="1"/>
      <c r="B64" s="491">
        <f t="shared" si="6"/>
        <v>15</v>
      </c>
      <c r="C64" s="491">
        <v>3</v>
      </c>
      <c r="D64" s="492">
        <f t="shared" si="7"/>
        <v>2.7228276164529746</v>
      </c>
      <c r="E64" s="142">
        <f t="shared" si="5"/>
        <v>9.8811944772949842E-4</v>
      </c>
      <c r="F64" s="49"/>
      <c r="G64" s="142">
        <f t="shared" si="8"/>
        <v>9.8811944772949842E-4</v>
      </c>
    </row>
    <row r="65" spans="1:7" ht="15" customHeight="1" x14ac:dyDescent="0.25">
      <c r="A65" s="1"/>
      <c r="B65" s="491">
        <f t="shared" si="6"/>
        <v>16</v>
      </c>
      <c r="C65" s="491">
        <v>3</v>
      </c>
      <c r="D65" s="492">
        <f t="shared" si="7"/>
        <v>2.4202912146248661</v>
      </c>
      <c r="E65" s="142">
        <f t="shared" si="5"/>
        <v>7.9446537719083418E-4</v>
      </c>
      <c r="F65" s="49"/>
      <c r="G65" s="142">
        <f t="shared" si="8"/>
        <v>7.9446537719083418E-4</v>
      </c>
    </row>
    <row r="66" spans="1:7" ht="15" customHeight="1" x14ac:dyDescent="0.25">
      <c r="A66" s="1"/>
      <c r="B66" s="491">
        <f t="shared" si="6"/>
        <v>17</v>
      </c>
      <c r="C66" s="491">
        <v>3</v>
      </c>
      <c r="D66" s="492">
        <f t="shared" si="7"/>
        <v>2.1177548127967576</v>
      </c>
      <c r="E66" s="142">
        <f t="shared" si="5"/>
        <v>6.2040300055525826E-4</v>
      </c>
      <c r="F66" s="49"/>
      <c r="G66" s="142">
        <f t="shared" si="8"/>
        <v>6.2040300055525826E-4</v>
      </c>
    </row>
    <row r="67" spans="1:7" ht="15" customHeight="1" x14ac:dyDescent="0.25">
      <c r="A67" s="1"/>
      <c r="B67" s="491">
        <f t="shared" si="6"/>
        <v>18</v>
      </c>
      <c r="C67" s="491">
        <v>3</v>
      </c>
      <c r="D67" s="492">
        <f t="shared" si="7"/>
        <v>1.8152184109686491</v>
      </c>
      <c r="E67" s="142">
        <f t="shared" si="5"/>
        <v>4.6632471684984088E-4</v>
      </c>
      <c r="F67" s="49"/>
      <c r="G67" s="142">
        <f t="shared" si="8"/>
        <v>4.6632471684984088E-4</v>
      </c>
    </row>
    <row r="68" spans="1:7" x14ac:dyDescent="0.25">
      <c r="A68" s="1"/>
      <c r="B68" s="491">
        <f t="shared" si="6"/>
        <v>19</v>
      </c>
      <c r="C68" s="491">
        <v>3</v>
      </c>
      <c r="D68" s="492">
        <f t="shared" si="7"/>
        <v>1.5126820091405406</v>
      </c>
      <c r="E68" s="142">
        <f t="shared" si="5"/>
        <v>3.3269384594821931E-4</v>
      </c>
      <c r="F68" s="49"/>
      <c r="G68" s="142">
        <f t="shared" si="8"/>
        <v>3.3269384594821931E-4</v>
      </c>
    </row>
    <row r="69" spans="1:7" x14ac:dyDescent="0.25">
      <c r="A69" s="1"/>
      <c r="B69" s="491">
        <f t="shared" si="6"/>
        <v>20</v>
      </c>
      <c r="C69" s="491">
        <v>3</v>
      </c>
      <c r="D69" s="492">
        <f t="shared" si="7"/>
        <v>1.2101456073124321</v>
      </c>
      <c r="E69" s="142">
        <f t="shared" si="5"/>
        <v>2.2007333429653784E-4</v>
      </c>
      <c r="F69" s="49"/>
      <c r="G69" s="142">
        <f t="shared" si="8"/>
        <v>2.2007333429653784E-4</v>
      </c>
    </row>
    <row r="70" spans="1:7" x14ac:dyDescent="0.25">
      <c r="A70" s="1"/>
      <c r="B70" s="491">
        <f t="shared" si="6"/>
        <v>21</v>
      </c>
      <c r="C70" s="491">
        <v>3</v>
      </c>
      <c r="D70" s="492">
        <f t="shared" si="7"/>
        <v>0.90760920548432367</v>
      </c>
      <c r="E70" s="142">
        <f t="shared" si="5"/>
        <v>1.2917571771964406E-4</v>
      </c>
      <c r="F70" s="49"/>
      <c r="G70" s="142">
        <f t="shared" si="8"/>
        <v>1.2917571771964406E-4</v>
      </c>
    </row>
    <row r="71" spans="1:7" x14ac:dyDescent="0.25">
      <c r="A71" s="1"/>
      <c r="B71" s="491">
        <f t="shared" si="6"/>
        <v>22</v>
      </c>
      <c r="C71" s="491">
        <v>3</v>
      </c>
      <c r="D71" s="492">
        <f t="shared" si="7"/>
        <v>0.60507280365621519</v>
      </c>
      <c r="E71" s="142">
        <f t="shared" si="5"/>
        <v>6.0962093325763923E-5</v>
      </c>
      <c r="F71" s="49"/>
      <c r="G71" s="142">
        <f t="shared" si="8"/>
        <v>6.0962093325763923E-5</v>
      </c>
    </row>
    <row r="72" spans="1:7" x14ac:dyDescent="0.25">
      <c r="A72" s="1"/>
      <c r="B72" s="491">
        <f t="shared" si="6"/>
        <v>23</v>
      </c>
      <c r="C72" s="491">
        <v>3</v>
      </c>
      <c r="D72" s="492">
        <f t="shared" si="7"/>
        <v>0.30253640182810676</v>
      </c>
      <c r="E72" s="142">
        <f t="shared" si="5"/>
        <v>1.6886992849626624E-5</v>
      </c>
      <c r="F72" s="49"/>
      <c r="G72" s="142">
        <f t="shared" si="8"/>
        <v>1.6886992849626624E-5</v>
      </c>
    </row>
    <row r="73" spans="1:7" x14ac:dyDescent="0.25">
      <c r="A73" s="1"/>
      <c r="B73" s="491">
        <f t="shared" si="6"/>
        <v>24</v>
      </c>
      <c r="C73" s="491">
        <v>3</v>
      </c>
      <c r="D73" s="492">
        <f t="shared" si="7"/>
        <v>0</v>
      </c>
      <c r="E73" s="142">
        <f t="shared" si="5"/>
        <v>0</v>
      </c>
      <c r="F73" s="49"/>
      <c r="G73" s="142">
        <f t="shared" si="8"/>
        <v>0</v>
      </c>
    </row>
    <row r="74" spans="1:7" x14ac:dyDescent="0.25">
      <c r="A74" s="1"/>
      <c r="B74" s="491">
        <f t="shared" si="6"/>
        <v>25</v>
      </c>
      <c r="C74" s="491">
        <v>3</v>
      </c>
      <c r="D74" s="492">
        <f t="shared" si="7"/>
        <v>0</v>
      </c>
      <c r="E74" s="142">
        <f t="shared" si="5"/>
        <v>0</v>
      </c>
      <c r="F74" s="49"/>
      <c r="G74" s="142">
        <f t="shared" si="8"/>
        <v>0</v>
      </c>
    </row>
    <row r="75" spans="1:7" x14ac:dyDescent="0.25">
      <c r="A75" s="1"/>
      <c r="B75" s="491">
        <f t="shared" si="6"/>
        <v>26</v>
      </c>
      <c r="C75" s="491">
        <v>3</v>
      </c>
      <c r="D75" s="492">
        <f t="shared" si="7"/>
        <v>0</v>
      </c>
      <c r="E75" s="142">
        <f t="shared" si="5"/>
        <v>0</v>
      </c>
      <c r="F75" s="49"/>
      <c r="G75" s="142">
        <f t="shared" si="8"/>
        <v>0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0C5C1-A453-4A00-BC40-908A6A10E5A0}">
  <dimension ref="A1:M61"/>
  <sheetViews>
    <sheetView showGridLines="0" zoomScale="75" zoomScaleNormal="75" workbookViewId="0">
      <selection activeCell="I36" sqref="I36"/>
    </sheetView>
  </sheetViews>
  <sheetFormatPr baseColWidth="10" defaultRowHeight="15" x14ac:dyDescent="0.25"/>
  <cols>
    <col min="1" max="1" width="32.140625" customWidth="1"/>
    <col min="2" max="2" width="31.7109375" customWidth="1"/>
    <col min="3" max="3" width="11.140625" customWidth="1"/>
    <col min="4" max="4" width="16.7109375" customWidth="1"/>
    <col min="5" max="5" width="12.42578125" customWidth="1"/>
    <col min="6" max="6" width="10.5703125" customWidth="1"/>
    <col min="7" max="7" width="15.28515625" customWidth="1"/>
    <col min="8" max="8" width="13.5703125" customWidth="1"/>
    <col min="9" max="9" width="24.28515625" customWidth="1"/>
    <col min="10" max="10" width="14.85546875" customWidth="1"/>
    <col min="11" max="11" width="7.28515625" customWidth="1"/>
    <col min="12" max="12" width="15" customWidth="1"/>
  </cols>
  <sheetData>
    <row r="1" spans="1:13" ht="36" customHeight="1" x14ac:dyDescent="0.25">
      <c r="A1" s="372" t="s">
        <v>52</v>
      </c>
      <c r="G1" s="164" t="s">
        <v>53</v>
      </c>
      <c r="H1" s="334" t="s">
        <v>54</v>
      </c>
    </row>
    <row r="2" spans="1:13" ht="15.75" x14ac:dyDescent="0.25">
      <c r="B2" s="373"/>
      <c r="C2" s="374" t="s">
        <v>231</v>
      </c>
      <c r="D2" s="2"/>
      <c r="E2" s="2"/>
      <c r="F2" s="2"/>
      <c r="G2" s="375"/>
      <c r="H2" s="340"/>
    </row>
    <row r="3" spans="1:13" ht="18.75" customHeight="1" x14ac:dyDescent="0.25">
      <c r="A3" s="50"/>
      <c r="B3" s="376" t="s">
        <v>105</v>
      </c>
      <c r="C3" s="149"/>
      <c r="D3" s="377"/>
      <c r="E3" s="378">
        <f>E4+E16+E27</f>
        <v>0.66639654943441062</v>
      </c>
      <c r="F3" s="379" t="s">
        <v>5</v>
      </c>
      <c r="G3" s="394">
        <f>G4+G16+G27</f>
        <v>0.66639654943441062</v>
      </c>
      <c r="H3" s="340">
        <f t="shared" ref="H3:H33" si="0">G3-E3</f>
        <v>0</v>
      </c>
    </row>
    <row r="4" spans="1:13" ht="26.25" customHeight="1" x14ac:dyDescent="0.25">
      <c r="A4" s="1"/>
      <c r="B4" s="533" t="s">
        <v>106</v>
      </c>
      <c r="C4" s="531"/>
      <c r="D4" s="532" t="s">
        <v>74</v>
      </c>
      <c r="E4" s="549">
        <f>E10+SUM(E13:E15)</f>
        <v>0.46944461623307254</v>
      </c>
      <c r="F4" s="550" t="s">
        <v>5</v>
      </c>
      <c r="G4" s="551">
        <f>G10+SUM(G13:G15)</f>
        <v>0.46944461623307254</v>
      </c>
      <c r="H4" s="521">
        <f t="shared" si="0"/>
        <v>0</v>
      </c>
    </row>
    <row r="5" spans="1:13" ht="18.75" x14ac:dyDescent="0.35">
      <c r="A5" s="1"/>
      <c r="B5" s="51" t="s">
        <v>75</v>
      </c>
      <c r="C5" s="151" t="s">
        <v>76</v>
      </c>
      <c r="D5" s="151" t="s">
        <v>77</v>
      </c>
      <c r="E5" s="354">
        <v>150</v>
      </c>
      <c r="F5" s="381"/>
      <c r="G5" s="390">
        <v>150</v>
      </c>
      <c r="H5" s="340">
        <f t="shared" si="0"/>
        <v>0</v>
      </c>
    </row>
    <row r="6" spans="1:13" x14ac:dyDescent="0.25">
      <c r="A6" s="123" t="s">
        <v>228</v>
      </c>
      <c r="B6" s="409" t="s">
        <v>107</v>
      </c>
      <c r="C6" s="172"/>
      <c r="D6" s="410"/>
      <c r="E6" s="173">
        <f>'Planta Pinbasa'!E58</f>
        <v>9.7027257557999995</v>
      </c>
      <c r="F6" s="387" t="s">
        <v>1</v>
      </c>
      <c r="G6" s="391">
        <f>'Planta Pinbasa'!G58</f>
        <v>9.7027257557999995</v>
      </c>
      <c r="H6" s="340">
        <f t="shared" si="0"/>
        <v>0</v>
      </c>
    </row>
    <row r="7" spans="1:13" x14ac:dyDescent="0.25">
      <c r="A7" s="1"/>
      <c r="B7" s="171" t="s">
        <v>79</v>
      </c>
      <c r="C7" s="172"/>
      <c r="D7" s="403"/>
      <c r="E7" s="173">
        <f>1.85+0.35+0.3</f>
        <v>2.5</v>
      </c>
      <c r="F7" s="387" t="s">
        <v>25</v>
      </c>
      <c r="G7" s="391">
        <f>1.85+0.35+0.3</f>
        <v>2.5</v>
      </c>
      <c r="H7" s="340">
        <f t="shared" si="0"/>
        <v>0</v>
      </c>
    </row>
    <row r="8" spans="1:13" x14ac:dyDescent="0.25">
      <c r="A8" s="1"/>
      <c r="B8" s="143" t="s">
        <v>80</v>
      </c>
      <c r="C8" s="38"/>
      <c r="D8" s="2"/>
      <c r="E8" s="39">
        <v>4</v>
      </c>
      <c r="F8" s="382" t="s">
        <v>10</v>
      </c>
      <c r="G8" s="391">
        <v>4</v>
      </c>
      <c r="H8" s="340">
        <f t="shared" si="0"/>
        <v>0</v>
      </c>
    </row>
    <row r="9" spans="1:13" x14ac:dyDescent="0.25">
      <c r="A9" s="1"/>
      <c r="B9" s="139" t="s">
        <v>81</v>
      </c>
      <c r="C9" s="54"/>
      <c r="D9" s="2"/>
      <c r="E9" s="40">
        <f>0.001*E6/(0.25*3.14*(0.0254*E8)^2)</f>
        <v>1.1973929140127388</v>
      </c>
      <c r="F9" s="151" t="s">
        <v>11</v>
      </c>
      <c r="G9" s="392">
        <f>0.001*G6/(0.25*3.14*(0.0254*G8)^2)</f>
        <v>1.1973929140127388</v>
      </c>
      <c r="H9" s="340">
        <f t="shared" si="0"/>
        <v>0</v>
      </c>
    </row>
    <row r="10" spans="1:13" x14ac:dyDescent="0.25">
      <c r="A10" s="165" t="s">
        <v>117</v>
      </c>
      <c r="B10" s="140" t="s">
        <v>33</v>
      </c>
      <c r="C10" s="141"/>
      <c r="D10" s="2"/>
      <c r="E10" s="23">
        <f>(10.672*E7*(0.001*E6/E5)^1.852)/(0.0254*E8)^4.871</f>
        <v>3.2004629123024035E-2</v>
      </c>
      <c r="F10" s="383" t="s">
        <v>5</v>
      </c>
      <c r="G10" s="393">
        <f>(10.672*G7*(0.001*G6/G5)^1.852)/(0.0254*G8)^4.871</f>
        <v>3.2004629123024035E-2</v>
      </c>
      <c r="H10" s="340">
        <f t="shared" si="0"/>
        <v>0</v>
      </c>
      <c r="J10" s="15"/>
      <c r="K10" s="15"/>
      <c r="L10" s="153"/>
    </row>
    <row r="11" spans="1:13" x14ac:dyDescent="0.25">
      <c r="A11" s="1"/>
      <c r="B11" s="139" t="s">
        <v>37</v>
      </c>
      <c r="C11" s="54"/>
      <c r="D11" s="2"/>
      <c r="E11" s="40">
        <f>E9^2/19.6</f>
        <v>7.3150499516730513E-2</v>
      </c>
      <c r="F11" s="151" t="s">
        <v>5</v>
      </c>
      <c r="G11" s="392">
        <f>G9^2/19.6</f>
        <v>7.3150499516730513E-2</v>
      </c>
      <c r="H11" s="340">
        <f t="shared" si="0"/>
        <v>0</v>
      </c>
      <c r="J11" s="15"/>
      <c r="K11" s="15"/>
      <c r="L11" s="86"/>
      <c r="M11" s="87"/>
    </row>
    <row r="12" spans="1:13" x14ac:dyDescent="0.25">
      <c r="A12" s="1"/>
      <c r="B12" s="88" t="s">
        <v>38</v>
      </c>
      <c r="C12" s="404" t="s">
        <v>56</v>
      </c>
      <c r="D12" s="408" t="s">
        <v>82</v>
      </c>
      <c r="E12" s="405" t="s">
        <v>74</v>
      </c>
      <c r="F12" s="4"/>
      <c r="G12" s="384" t="s">
        <v>83</v>
      </c>
      <c r="H12" s="340"/>
      <c r="J12" s="15"/>
      <c r="K12" s="15"/>
      <c r="L12" s="89"/>
      <c r="M12" s="90"/>
    </row>
    <row r="13" spans="1:13" x14ac:dyDescent="0.25">
      <c r="A13" s="123" t="s">
        <v>108</v>
      </c>
      <c r="B13" s="51" t="s">
        <v>109</v>
      </c>
      <c r="C13" s="154">
        <v>0.9</v>
      </c>
      <c r="D13" s="155">
        <v>3</v>
      </c>
      <c r="E13" s="39">
        <f>C13*D13*E11</f>
        <v>0.19750634869517239</v>
      </c>
      <c r="F13" s="151" t="s">
        <v>5</v>
      </c>
      <c r="G13" s="391">
        <f>C13*D13*$G$11</f>
        <v>0.19750634869517239</v>
      </c>
      <c r="H13" s="340">
        <f t="shared" si="0"/>
        <v>0</v>
      </c>
      <c r="J13" s="15"/>
      <c r="K13" s="15"/>
      <c r="L13" s="89"/>
      <c r="M13" s="90"/>
    </row>
    <row r="14" spans="1:13" x14ac:dyDescent="0.25">
      <c r="A14" s="123" t="s">
        <v>108</v>
      </c>
      <c r="B14" s="51" t="s">
        <v>104</v>
      </c>
      <c r="C14" s="154">
        <v>1.8</v>
      </c>
      <c r="D14" s="155">
        <v>1</v>
      </c>
      <c r="E14" s="39">
        <f>C14*D14*E11</f>
        <v>0.13167089913011493</v>
      </c>
      <c r="F14" s="151" t="s">
        <v>5</v>
      </c>
      <c r="G14" s="391">
        <f t="shared" ref="G14:G15" si="1">C14*D14*$G$11</f>
        <v>0.13167089913011493</v>
      </c>
      <c r="H14" s="340">
        <f t="shared" si="0"/>
        <v>0</v>
      </c>
      <c r="J14" s="15"/>
      <c r="K14" s="15"/>
      <c r="L14" s="89"/>
      <c r="M14" s="90"/>
    </row>
    <row r="15" spans="1:13" x14ac:dyDescent="0.25">
      <c r="A15" s="123" t="s">
        <v>118</v>
      </c>
      <c r="B15" s="51" t="s">
        <v>119</v>
      </c>
      <c r="C15" s="154">
        <v>1.48</v>
      </c>
      <c r="D15" s="155">
        <v>1</v>
      </c>
      <c r="E15" s="39">
        <f>C15*D15*E11</f>
        <v>0.10826273928476116</v>
      </c>
      <c r="F15" s="151" t="s">
        <v>5</v>
      </c>
      <c r="G15" s="391">
        <f t="shared" si="1"/>
        <v>0.10826273928476116</v>
      </c>
      <c r="H15" s="340">
        <f t="shared" si="0"/>
        <v>0</v>
      </c>
      <c r="J15" s="15"/>
      <c r="K15" s="15"/>
      <c r="L15" s="89"/>
      <c r="M15" s="90"/>
    </row>
    <row r="16" spans="1:13" ht="29.25" customHeight="1" x14ac:dyDescent="0.25">
      <c r="A16" s="1"/>
      <c r="B16" s="527" t="s">
        <v>110</v>
      </c>
      <c r="C16" s="528"/>
      <c r="D16" s="529" t="s">
        <v>74</v>
      </c>
      <c r="E16" s="530">
        <f>E22+E26</f>
        <v>0.17327691699004619</v>
      </c>
      <c r="F16" s="553" t="s">
        <v>5</v>
      </c>
      <c r="G16" s="552">
        <f>G22+G26</f>
        <v>0.17327691699004619</v>
      </c>
      <c r="H16" s="521">
        <f t="shared" si="0"/>
        <v>0</v>
      </c>
      <c r="J16" s="15"/>
      <c r="K16" s="15"/>
      <c r="L16" s="89"/>
      <c r="M16" s="90"/>
    </row>
    <row r="17" spans="1:13" ht="18.75" x14ac:dyDescent="0.35">
      <c r="A17" s="1"/>
      <c r="B17" s="51" t="s">
        <v>75</v>
      </c>
      <c r="C17" s="151" t="s">
        <v>111</v>
      </c>
      <c r="D17" s="151" t="s">
        <v>77</v>
      </c>
      <c r="E17" s="354">
        <v>150</v>
      </c>
      <c r="F17" s="381"/>
      <c r="G17" s="390">
        <v>150</v>
      </c>
      <c r="H17" s="340">
        <f t="shared" si="0"/>
        <v>0</v>
      </c>
      <c r="J17" s="15"/>
      <c r="K17" s="15"/>
      <c r="L17" s="89"/>
      <c r="M17" s="90"/>
    </row>
    <row r="18" spans="1:13" x14ac:dyDescent="0.25">
      <c r="A18" s="1"/>
      <c r="B18" s="152" t="s">
        <v>78</v>
      </c>
      <c r="C18" s="38"/>
      <c r="D18" s="38"/>
      <c r="E18" s="62">
        <f>E6</f>
        <v>9.7027257557999995</v>
      </c>
      <c r="F18" s="133" t="s">
        <v>1</v>
      </c>
      <c r="G18" s="395">
        <f>G6</f>
        <v>9.7027257557999995</v>
      </c>
      <c r="H18" s="340">
        <f t="shared" si="0"/>
        <v>0</v>
      </c>
      <c r="J18" s="15"/>
      <c r="K18" s="15"/>
      <c r="L18" s="89"/>
      <c r="M18" s="90"/>
    </row>
    <row r="19" spans="1:13" x14ac:dyDescent="0.25">
      <c r="A19" s="1"/>
      <c r="B19" s="171" t="s">
        <v>79</v>
      </c>
      <c r="C19" s="172"/>
      <c r="D19" s="172"/>
      <c r="E19" s="173">
        <f>1.4+1.85</f>
        <v>3.25</v>
      </c>
      <c r="F19" s="387" t="s">
        <v>25</v>
      </c>
      <c r="G19" s="391">
        <f>1.4+1.85</f>
        <v>3.25</v>
      </c>
      <c r="H19" s="340">
        <f t="shared" si="0"/>
        <v>0</v>
      </c>
      <c r="J19" s="15"/>
      <c r="K19" s="15"/>
      <c r="L19" s="89"/>
      <c r="M19" s="90"/>
    </row>
    <row r="20" spans="1:13" x14ac:dyDescent="0.25">
      <c r="A20" s="1"/>
      <c r="B20" s="174" t="s">
        <v>80</v>
      </c>
      <c r="C20" s="172"/>
      <c r="D20" s="172"/>
      <c r="E20" s="175">
        <v>4</v>
      </c>
      <c r="F20" s="388" t="s">
        <v>10</v>
      </c>
      <c r="G20" s="396">
        <v>4</v>
      </c>
      <c r="H20" s="340">
        <f t="shared" si="0"/>
        <v>0</v>
      </c>
      <c r="J20" s="15"/>
      <c r="K20" s="15"/>
      <c r="L20" s="89"/>
      <c r="M20" s="90"/>
    </row>
    <row r="21" spans="1:13" x14ac:dyDescent="0.25">
      <c r="A21" s="1"/>
      <c r="B21" s="139" t="s">
        <v>81</v>
      </c>
      <c r="C21" s="54"/>
      <c r="D21" s="54"/>
      <c r="E21" s="40">
        <f>0.001*E18/(0.25*3.14*(0.0254*E20)^2)</f>
        <v>1.1973929140127388</v>
      </c>
      <c r="F21" s="151" t="s">
        <v>11</v>
      </c>
      <c r="G21" s="392">
        <f>0.001*G18/(0.25*3.14*(0.0254*G20)^2)</f>
        <v>1.1973929140127388</v>
      </c>
      <c r="H21" s="340">
        <f t="shared" si="0"/>
        <v>0</v>
      </c>
      <c r="J21" s="15"/>
      <c r="K21" s="15"/>
      <c r="L21" s="89"/>
      <c r="M21" s="90"/>
    </row>
    <row r="22" spans="1:13" x14ac:dyDescent="0.25">
      <c r="A22" s="165" t="s">
        <v>117</v>
      </c>
      <c r="B22" s="140" t="s">
        <v>33</v>
      </c>
      <c r="C22" s="141"/>
      <c r="D22" s="141"/>
      <c r="E22" s="23">
        <f>(10.672*E19*(0.001*E18/E17)^1.852)/(0.0254*E20)^4.871</f>
        <v>4.1606017859931253E-2</v>
      </c>
      <c r="F22" s="383" t="s">
        <v>5</v>
      </c>
      <c r="G22" s="393">
        <f>(10.672*G19*(0.001*G18/G17)^1.852)/(0.0254*G20)^4.871</f>
        <v>4.1606017859931253E-2</v>
      </c>
      <c r="H22" s="340">
        <f t="shared" si="0"/>
        <v>0</v>
      </c>
      <c r="J22" s="15"/>
      <c r="K22" s="15"/>
      <c r="L22" s="89"/>
      <c r="M22" s="90"/>
    </row>
    <row r="23" spans="1:13" x14ac:dyDescent="0.25">
      <c r="A23" s="1"/>
      <c r="B23" s="139" t="s">
        <v>37</v>
      </c>
      <c r="C23" s="54"/>
      <c r="E23" s="40">
        <f>E21^2/19.6</f>
        <v>7.3150499516730513E-2</v>
      </c>
      <c r="F23" s="151" t="s">
        <v>5</v>
      </c>
      <c r="G23" s="392">
        <f>G21^2/19.6</f>
        <v>7.3150499516730513E-2</v>
      </c>
      <c r="H23" s="340">
        <f t="shared" si="0"/>
        <v>0</v>
      </c>
      <c r="J23" s="15"/>
      <c r="K23" s="15"/>
      <c r="L23" s="89"/>
      <c r="M23" s="90"/>
    </row>
    <row r="24" spans="1:13" x14ac:dyDescent="0.25">
      <c r="A24" s="1"/>
      <c r="B24" s="88" t="s">
        <v>38</v>
      </c>
      <c r="C24" s="404" t="s">
        <v>56</v>
      </c>
      <c r="D24" s="408" t="s">
        <v>82</v>
      </c>
      <c r="E24" s="405" t="s">
        <v>74</v>
      </c>
      <c r="F24" s="4"/>
      <c r="G24" s="384" t="s">
        <v>83</v>
      </c>
      <c r="H24" s="340"/>
    </row>
    <row r="25" spans="1:13" x14ac:dyDescent="0.25">
      <c r="A25" s="123" t="s">
        <v>385</v>
      </c>
      <c r="B25" s="51" t="s">
        <v>109</v>
      </c>
      <c r="C25" s="154">
        <v>0.9</v>
      </c>
      <c r="D25" s="155">
        <v>3</v>
      </c>
      <c r="E25" s="39">
        <f>C25*D25*E23</f>
        <v>0.19750634869517239</v>
      </c>
      <c r="F25" s="151" t="s">
        <v>5</v>
      </c>
      <c r="G25" s="340">
        <f t="shared" ref="G25:G26" si="2">C25*D25*$G$11</f>
        <v>0.19750634869517239</v>
      </c>
      <c r="H25" s="340">
        <f t="shared" si="0"/>
        <v>0</v>
      </c>
    </row>
    <row r="26" spans="1:13" x14ac:dyDescent="0.25">
      <c r="A26" s="123" t="s">
        <v>108</v>
      </c>
      <c r="B26" s="51" t="s">
        <v>104</v>
      </c>
      <c r="C26" s="154">
        <v>1.8</v>
      </c>
      <c r="D26" s="155">
        <v>1</v>
      </c>
      <c r="E26" s="39">
        <f>C26*D26*E23</f>
        <v>0.13167089913011493</v>
      </c>
      <c r="F26" s="151" t="s">
        <v>5</v>
      </c>
      <c r="G26" s="340">
        <f t="shared" si="2"/>
        <v>0.13167089913011493</v>
      </c>
      <c r="H26" s="340">
        <f t="shared" si="0"/>
        <v>0</v>
      </c>
    </row>
    <row r="27" spans="1:13" ht="26.25" customHeight="1" x14ac:dyDescent="0.25">
      <c r="A27" s="1"/>
      <c r="B27" s="150" t="s">
        <v>112</v>
      </c>
      <c r="C27" s="65"/>
      <c r="D27" s="75" t="s">
        <v>74</v>
      </c>
      <c r="E27" s="23">
        <f>SUM(E36:E61)</f>
        <v>2.3675016211291863E-2</v>
      </c>
      <c r="F27" s="383" t="s">
        <v>5</v>
      </c>
      <c r="G27" s="400">
        <f>SUM(G36:G61)</f>
        <v>2.3675016211291863E-2</v>
      </c>
      <c r="H27" s="340">
        <f t="shared" si="0"/>
        <v>0</v>
      </c>
    </row>
    <row r="28" spans="1:13" ht="18.75" x14ac:dyDescent="0.35">
      <c r="A28" s="1"/>
      <c r="B28" s="51" t="s">
        <v>75</v>
      </c>
      <c r="C28" s="151" t="s">
        <v>76</v>
      </c>
      <c r="D28" s="151" t="s">
        <v>113</v>
      </c>
      <c r="E28" s="354">
        <v>150</v>
      </c>
      <c r="F28" s="381"/>
      <c r="G28" s="398">
        <v>150</v>
      </c>
      <c r="H28" s="340">
        <f t="shared" si="0"/>
        <v>0</v>
      </c>
    </row>
    <row r="29" spans="1:13" x14ac:dyDescent="0.25">
      <c r="A29" s="123" t="s">
        <v>228</v>
      </c>
      <c r="B29" s="51" t="s">
        <v>159</v>
      </c>
      <c r="C29" s="385"/>
      <c r="D29" s="385"/>
      <c r="E29" s="354">
        <f>'Planta Pinbasa'!E53</f>
        <v>2</v>
      </c>
      <c r="F29" s="389" t="s">
        <v>21</v>
      </c>
      <c r="G29" s="398">
        <f>'Planta Pinbasa'!G53</f>
        <v>2</v>
      </c>
      <c r="H29" s="340">
        <f t="shared" si="0"/>
        <v>0</v>
      </c>
    </row>
    <row r="30" spans="1:13" x14ac:dyDescent="0.25">
      <c r="A30" s="1"/>
      <c r="B30" s="139" t="s">
        <v>342</v>
      </c>
      <c r="C30" s="386"/>
      <c r="D30" s="386"/>
      <c r="E30" s="40">
        <f>E6/E29</f>
        <v>4.8513628778999998</v>
      </c>
      <c r="F30" s="151" t="s">
        <v>1</v>
      </c>
      <c r="G30" s="399">
        <f>G6/G29</f>
        <v>4.8513628778999998</v>
      </c>
      <c r="H30" s="340">
        <f t="shared" si="0"/>
        <v>0</v>
      </c>
    </row>
    <row r="31" spans="1:13" x14ac:dyDescent="0.25">
      <c r="A31" s="123" t="s">
        <v>228</v>
      </c>
      <c r="B31" s="75" t="s">
        <v>101</v>
      </c>
      <c r="C31" s="386"/>
      <c r="D31" s="386"/>
      <c r="E31" s="40">
        <f>'Planta Pinbasa'!E55</f>
        <v>0.2</v>
      </c>
      <c r="F31" s="151" t="s">
        <v>5</v>
      </c>
      <c r="G31" s="399">
        <f>'Planta Pinbasa'!G55</f>
        <v>0.2</v>
      </c>
      <c r="H31" s="340">
        <f>G31-E31</f>
        <v>0</v>
      </c>
    </row>
    <row r="32" spans="1:13" x14ac:dyDescent="0.25">
      <c r="A32" s="123" t="s">
        <v>228</v>
      </c>
      <c r="B32" s="75" t="s">
        <v>344</v>
      </c>
      <c r="C32" s="386"/>
      <c r="D32" s="386"/>
      <c r="E32" s="474">
        <f>'Planta Pinbasa'!E56</f>
        <v>22</v>
      </c>
      <c r="F32" s="151" t="s">
        <v>21</v>
      </c>
      <c r="G32" s="483">
        <f>'Planta Pinbasa'!G56</f>
        <v>22</v>
      </c>
      <c r="H32" s="340">
        <f>G32-E32</f>
        <v>0</v>
      </c>
    </row>
    <row r="33" spans="1:8" ht="15.95" customHeight="1" x14ac:dyDescent="0.25">
      <c r="A33" s="1"/>
      <c r="B33" s="75" t="s">
        <v>343</v>
      </c>
      <c r="C33" s="38"/>
      <c r="E33" s="39">
        <f>E30/E32</f>
        <v>0.22051649444999999</v>
      </c>
      <c r="F33" s="133" t="s">
        <v>1</v>
      </c>
      <c r="G33" s="340">
        <f>G30/G32</f>
        <v>0.22051649444999999</v>
      </c>
      <c r="H33" s="340">
        <f t="shared" si="0"/>
        <v>0</v>
      </c>
    </row>
    <row r="34" spans="1:8" ht="15.95" customHeight="1" x14ac:dyDescent="0.25">
      <c r="A34" s="1"/>
      <c r="B34" s="406" t="s">
        <v>102</v>
      </c>
      <c r="C34" s="406" t="s">
        <v>114</v>
      </c>
      <c r="D34" s="406" t="s">
        <v>115</v>
      </c>
      <c r="E34" s="406" t="s">
        <v>116</v>
      </c>
      <c r="F34" s="49"/>
      <c r="G34" s="406" t="s">
        <v>116</v>
      </c>
    </row>
    <row r="35" spans="1:8" ht="15.95" customHeight="1" x14ac:dyDescent="0.25">
      <c r="A35" s="1"/>
      <c r="B35" s="407"/>
      <c r="C35" s="407" t="s">
        <v>10</v>
      </c>
      <c r="D35" s="407" t="s">
        <v>1</v>
      </c>
      <c r="E35" s="407" t="s">
        <v>5</v>
      </c>
      <c r="F35" s="49"/>
      <c r="G35" s="407" t="s">
        <v>5</v>
      </c>
    </row>
    <row r="36" spans="1:8" ht="28.5" customHeight="1" x14ac:dyDescent="0.25">
      <c r="A36" s="1"/>
      <c r="B36" s="156">
        <v>1</v>
      </c>
      <c r="C36" s="156">
        <v>3</v>
      </c>
      <c r="D36" s="157">
        <f>E30</f>
        <v>4.8513628778999998</v>
      </c>
      <c r="E36" s="142">
        <f t="shared" ref="E36:E47" si="3">(10.672*$E$31*(0.001*D36/$E$28)^1.852)/(0.0254*C36)^4.871</f>
        <v>2.8798629454766119E-3</v>
      </c>
      <c r="F36" s="85"/>
      <c r="G36" s="142">
        <f t="shared" ref="G36:G47" si="4">(10.672*$G$31*(0.001*D36/$G$28)^1.852)/(0.0254*C36)^4.871</f>
        <v>2.8798629454766119E-3</v>
      </c>
    </row>
    <row r="37" spans="1:8" ht="15.95" customHeight="1" x14ac:dyDescent="0.25">
      <c r="A37" s="1"/>
      <c r="B37" s="156">
        <f>B36+1</f>
        <v>2</v>
      </c>
      <c r="C37" s="156">
        <v>3</v>
      </c>
      <c r="D37" s="157">
        <f t="shared" ref="D37:D61" si="5">MAX(0,D36-$E$33)</f>
        <v>4.6308463834499998</v>
      </c>
      <c r="E37" s="142">
        <f t="shared" si="3"/>
        <v>2.6421358804533533E-3</v>
      </c>
      <c r="F37" s="85"/>
      <c r="G37" s="142">
        <f t="shared" si="4"/>
        <v>2.6421358804533533E-3</v>
      </c>
    </row>
    <row r="38" spans="1:8" ht="15.95" customHeight="1" x14ac:dyDescent="0.25">
      <c r="A38" s="1"/>
      <c r="B38" s="156">
        <f t="shared" ref="B38:B61" si="6">B37+1</f>
        <v>3</v>
      </c>
      <c r="C38" s="156">
        <v>3</v>
      </c>
      <c r="D38" s="157">
        <f t="shared" si="5"/>
        <v>4.4103298889999998</v>
      </c>
      <c r="E38" s="142">
        <f t="shared" si="3"/>
        <v>2.413862717228554E-3</v>
      </c>
      <c r="F38" s="49"/>
      <c r="G38" s="142">
        <f t="shared" si="4"/>
        <v>2.413862717228554E-3</v>
      </c>
    </row>
    <row r="39" spans="1:8" ht="15.95" customHeight="1" x14ac:dyDescent="0.25">
      <c r="A39" s="1"/>
      <c r="B39" s="156">
        <f t="shared" si="6"/>
        <v>4</v>
      </c>
      <c r="C39" s="156">
        <v>3</v>
      </c>
      <c r="D39" s="157">
        <f t="shared" si="5"/>
        <v>4.1898133945499998</v>
      </c>
      <c r="E39" s="142">
        <f t="shared" si="3"/>
        <v>2.1951120003371963E-3</v>
      </c>
      <c r="F39" s="49"/>
      <c r="G39" s="142">
        <f t="shared" si="4"/>
        <v>2.1951120003371963E-3</v>
      </c>
    </row>
    <row r="40" spans="1:8" ht="15.95" customHeight="1" x14ac:dyDescent="0.25">
      <c r="A40" s="1"/>
      <c r="B40" s="156">
        <f t="shared" si="6"/>
        <v>5</v>
      </c>
      <c r="C40" s="156">
        <v>3</v>
      </c>
      <c r="D40" s="157">
        <f t="shared" si="5"/>
        <v>3.9692969000999998</v>
      </c>
      <c r="E40" s="142">
        <f t="shared" si="3"/>
        <v>1.9859563303667072E-3</v>
      </c>
      <c r="F40" s="49"/>
      <c r="G40" s="142">
        <f t="shared" si="4"/>
        <v>1.9859563303667072E-3</v>
      </c>
    </row>
    <row r="41" spans="1:8" ht="15.95" customHeight="1" x14ac:dyDescent="0.25">
      <c r="A41" s="1"/>
      <c r="B41" s="156">
        <f t="shared" si="6"/>
        <v>6</v>
      </c>
      <c r="C41" s="156">
        <v>3</v>
      </c>
      <c r="D41" s="157">
        <f t="shared" si="5"/>
        <v>3.7487804056499998</v>
      </c>
      <c r="E41" s="142">
        <f t="shared" si="3"/>
        <v>1.7864728377790285E-3</v>
      </c>
      <c r="F41" s="49"/>
      <c r="G41" s="142">
        <f t="shared" si="4"/>
        <v>1.7864728377790285E-3</v>
      </c>
    </row>
    <row r="42" spans="1:8" ht="15.95" customHeight="1" x14ac:dyDescent="0.25">
      <c r="A42" s="1"/>
      <c r="B42" s="156">
        <f t="shared" si="6"/>
        <v>7</v>
      </c>
      <c r="C42" s="156">
        <v>3</v>
      </c>
      <c r="D42" s="157">
        <f t="shared" si="5"/>
        <v>3.5282639111999998</v>
      </c>
      <c r="E42" s="142">
        <f t="shared" si="3"/>
        <v>1.5967437425856961E-3</v>
      </c>
      <c r="F42" s="49"/>
      <c r="G42" s="142">
        <f t="shared" si="4"/>
        <v>1.5967437425856961E-3</v>
      </c>
    </row>
    <row r="43" spans="1:8" ht="15.95" customHeight="1" x14ac:dyDescent="0.25">
      <c r="A43" s="1"/>
      <c r="B43" s="156">
        <f t="shared" si="6"/>
        <v>8</v>
      </c>
      <c r="C43" s="156">
        <v>3</v>
      </c>
      <c r="D43" s="157">
        <f t="shared" si="5"/>
        <v>3.3077474167499998</v>
      </c>
      <c r="E43" s="142">
        <f t="shared" si="3"/>
        <v>1.4168570216441395E-3</v>
      </c>
      <c r="F43" s="49"/>
      <c r="G43" s="142">
        <f t="shared" si="4"/>
        <v>1.4168570216441395E-3</v>
      </c>
    </row>
    <row r="44" spans="1:8" x14ac:dyDescent="0.25">
      <c r="A44" s="1"/>
      <c r="B44" s="156">
        <f t="shared" si="6"/>
        <v>9</v>
      </c>
      <c r="C44" s="156">
        <v>3</v>
      </c>
      <c r="D44" s="157">
        <f t="shared" si="5"/>
        <v>3.0872309222999998</v>
      </c>
      <c r="E44" s="142">
        <f t="shared" si="3"/>
        <v>1.2469072126475391E-3</v>
      </c>
      <c r="F44" s="49"/>
      <c r="G44" s="142">
        <f t="shared" si="4"/>
        <v>1.2469072126475391E-3</v>
      </c>
    </row>
    <row r="45" spans="1:8" x14ac:dyDescent="0.25">
      <c r="A45" s="1"/>
      <c r="B45" s="156">
        <f t="shared" si="6"/>
        <v>10</v>
      </c>
      <c r="C45" s="156">
        <v>3</v>
      </c>
      <c r="D45" s="157">
        <f t="shared" si="5"/>
        <v>2.8667144278499999</v>
      </c>
      <c r="E45" s="142">
        <f t="shared" si="3"/>
        <v>1.0869963943176391E-3</v>
      </c>
      <c r="F45" s="49"/>
      <c r="G45" s="142">
        <f t="shared" si="4"/>
        <v>1.0869963943176391E-3</v>
      </c>
    </row>
    <row r="46" spans="1:8" x14ac:dyDescent="0.25">
      <c r="A46" s="1"/>
      <c r="B46" s="156">
        <f t="shared" si="6"/>
        <v>11</v>
      </c>
      <c r="C46" s="156">
        <v>3</v>
      </c>
      <c r="D46" s="157">
        <f t="shared" si="5"/>
        <v>2.6461979333999999</v>
      </c>
      <c r="E46" s="142">
        <f t="shared" si="3"/>
        <v>9.3723539756493835E-4</v>
      </c>
      <c r="F46" s="49"/>
      <c r="G46" s="142">
        <f t="shared" si="4"/>
        <v>9.3723539756493835E-4</v>
      </c>
    </row>
    <row r="47" spans="1:8" x14ac:dyDescent="0.25">
      <c r="A47" s="1"/>
      <c r="B47" s="156">
        <f t="shared" si="6"/>
        <v>12</v>
      </c>
      <c r="C47" s="156">
        <v>3</v>
      </c>
      <c r="D47" s="157">
        <f t="shared" si="5"/>
        <v>2.4256814389499999</v>
      </c>
      <c r="E47" s="142">
        <f t="shared" si="3"/>
        <v>7.9774532525141335E-4</v>
      </c>
      <c r="F47" s="49"/>
      <c r="G47" s="142">
        <f t="shared" si="4"/>
        <v>7.9774532525141335E-4</v>
      </c>
    </row>
    <row r="48" spans="1:8" x14ac:dyDescent="0.25">
      <c r="A48" s="1"/>
      <c r="B48" s="156">
        <f t="shared" si="6"/>
        <v>13</v>
      </c>
      <c r="C48" s="156">
        <v>3</v>
      </c>
      <c r="D48" s="157">
        <f t="shared" si="5"/>
        <v>2.2051649444999999</v>
      </c>
      <c r="E48" s="142">
        <f t="shared" ref="E48:E61" si="7">(10.672*$E$31*(0.001*D48/$E$28)^1.852)/(0.0254*C48)^4.871</f>
        <v>6.6865949349859154E-4</v>
      </c>
      <c r="F48" s="49"/>
      <c r="G48" s="142">
        <f t="shared" ref="G48:G61" si="8">(10.672*$G$31*(0.001*D48/$G$28)^1.852)/(0.0254*C48)^4.871</f>
        <v>6.6865949349859154E-4</v>
      </c>
    </row>
    <row r="49" spans="1:7" x14ac:dyDescent="0.25">
      <c r="A49" s="1"/>
      <c r="B49" s="156">
        <f t="shared" si="6"/>
        <v>14</v>
      </c>
      <c r="C49" s="156">
        <v>3</v>
      </c>
      <c r="D49" s="157">
        <f t="shared" si="5"/>
        <v>1.9846484500499999</v>
      </c>
      <c r="E49" s="142">
        <f t="shared" si="7"/>
        <v>5.5012596387335716E-4</v>
      </c>
      <c r="F49" s="49"/>
      <c r="G49" s="142">
        <f t="shared" si="8"/>
        <v>5.5012596387335716E-4</v>
      </c>
    </row>
    <row r="50" spans="1:7" x14ac:dyDescent="0.25">
      <c r="A50" s="1"/>
      <c r="B50" s="156">
        <f t="shared" si="6"/>
        <v>15</v>
      </c>
      <c r="C50" s="156">
        <v>3</v>
      </c>
      <c r="D50" s="157">
        <f t="shared" si="5"/>
        <v>1.7641319555999999</v>
      </c>
      <c r="E50" s="142">
        <f t="shared" si="7"/>
        <v>4.4231092950896319E-4</v>
      </c>
      <c r="F50" s="49"/>
      <c r="G50" s="142">
        <f t="shared" si="8"/>
        <v>4.4231092950896319E-4</v>
      </c>
    </row>
    <row r="51" spans="1:7" x14ac:dyDescent="0.25">
      <c r="A51" s="1"/>
      <c r="B51" s="156">
        <f t="shared" si="6"/>
        <v>16</v>
      </c>
      <c r="C51" s="156">
        <v>3</v>
      </c>
      <c r="D51" s="157">
        <f t="shared" si="5"/>
        <v>1.5436154611499999</v>
      </c>
      <c r="E51" s="142">
        <f t="shared" si="7"/>
        <v>3.4540338159989105E-4</v>
      </c>
      <c r="F51" s="49"/>
      <c r="G51" s="142">
        <f t="shared" si="8"/>
        <v>3.4540338159989105E-4</v>
      </c>
    </row>
    <row r="52" spans="1:7" x14ac:dyDescent="0.25">
      <c r="A52" s="1"/>
      <c r="B52" s="156">
        <f t="shared" si="6"/>
        <v>17</v>
      </c>
      <c r="C52" s="156">
        <v>3</v>
      </c>
      <c r="D52" s="157">
        <f t="shared" si="5"/>
        <v>1.3230989666999999</v>
      </c>
      <c r="E52" s="142">
        <f t="shared" si="7"/>
        <v>2.596217845164991E-4</v>
      </c>
      <c r="F52" s="49"/>
      <c r="G52" s="142">
        <f t="shared" si="8"/>
        <v>2.596217845164991E-4</v>
      </c>
    </row>
    <row r="53" spans="1:7" x14ac:dyDescent="0.25">
      <c r="A53" s="1"/>
      <c r="B53" s="156">
        <f t="shared" si="6"/>
        <v>18</v>
      </c>
      <c r="C53" s="156">
        <v>3</v>
      </c>
      <c r="D53" s="157">
        <f t="shared" si="5"/>
        <v>1.1025824722499999</v>
      </c>
      <c r="E53" s="142">
        <f t="shared" si="7"/>
        <v>1.8522408712585427E-4</v>
      </c>
      <c r="F53" s="49"/>
      <c r="G53" s="142">
        <f t="shared" si="8"/>
        <v>1.8522408712585427E-4</v>
      </c>
    </row>
    <row r="54" spans="1:7" x14ac:dyDescent="0.25">
      <c r="A54" s="1"/>
      <c r="B54" s="156">
        <f t="shared" si="6"/>
        <v>19</v>
      </c>
      <c r="C54" s="156">
        <v>3</v>
      </c>
      <c r="D54" s="157">
        <f t="shared" si="5"/>
        <v>0.88206597779999996</v>
      </c>
      <c r="E54" s="142">
        <f t="shared" si="7"/>
        <v>1.2252370442753364E-4</v>
      </c>
      <c r="F54" s="49"/>
      <c r="G54" s="142">
        <f t="shared" si="8"/>
        <v>1.2252370442753364E-4</v>
      </c>
    </row>
    <row r="55" spans="1:7" x14ac:dyDescent="0.25">
      <c r="A55" s="1"/>
      <c r="B55" s="156">
        <f t="shared" si="6"/>
        <v>20</v>
      </c>
      <c r="C55" s="156">
        <v>3</v>
      </c>
      <c r="D55" s="157">
        <f t="shared" si="5"/>
        <v>0.66154948334999997</v>
      </c>
      <c r="E55" s="142">
        <f t="shared" si="7"/>
        <v>7.1917333863674645E-5</v>
      </c>
      <c r="F55" s="49"/>
      <c r="G55" s="142">
        <f t="shared" si="8"/>
        <v>7.1917333863674645E-5</v>
      </c>
    </row>
    <row r="56" spans="1:7" x14ac:dyDescent="0.25">
      <c r="A56" s="1"/>
      <c r="B56" s="156">
        <f t="shared" si="6"/>
        <v>21</v>
      </c>
      <c r="C56" s="156">
        <v>3</v>
      </c>
      <c r="D56" s="157">
        <f t="shared" si="5"/>
        <v>0.44103298889999998</v>
      </c>
      <c r="E56" s="142">
        <f t="shared" si="7"/>
        <v>3.3940056971487095E-5</v>
      </c>
      <c r="F56" s="49"/>
      <c r="G56" s="142">
        <f t="shared" si="8"/>
        <v>3.3940056971487095E-5</v>
      </c>
    </row>
    <row r="57" spans="1:7" x14ac:dyDescent="0.25">
      <c r="A57" s="1"/>
      <c r="B57" s="156">
        <f t="shared" si="6"/>
        <v>22</v>
      </c>
      <c r="C57" s="156">
        <v>3</v>
      </c>
      <c r="D57" s="157">
        <f t="shared" si="5"/>
        <v>0.22051649444999999</v>
      </c>
      <c r="E57" s="142">
        <f t="shared" si="7"/>
        <v>9.4016702531965554E-6</v>
      </c>
      <c r="F57" s="49"/>
      <c r="G57" s="142">
        <f t="shared" si="8"/>
        <v>9.4016702531965554E-6</v>
      </c>
    </row>
    <row r="58" spans="1:7" x14ac:dyDescent="0.25">
      <c r="A58" s="1"/>
      <c r="B58" s="156">
        <f t="shared" si="6"/>
        <v>23</v>
      </c>
      <c r="C58" s="156">
        <v>3</v>
      </c>
      <c r="D58" s="157">
        <f t="shared" si="5"/>
        <v>0</v>
      </c>
      <c r="E58" s="142">
        <f t="shared" si="7"/>
        <v>0</v>
      </c>
      <c r="F58" s="49"/>
      <c r="G58" s="142">
        <f t="shared" si="8"/>
        <v>0</v>
      </c>
    </row>
    <row r="59" spans="1:7" x14ac:dyDescent="0.25">
      <c r="A59" s="1"/>
      <c r="B59" s="156">
        <f t="shared" si="6"/>
        <v>24</v>
      </c>
      <c r="C59" s="156">
        <v>3</v>
      </c>
      <c r="D59" s="157">
        <f t="shared" si="5"/>
        <v>0</v>
      </c>
      <c r="E59" s="142">
        <f t="shared" si="7"/>
        <v>0</v>
      </c>
      <c r="F59" s="49"/>
      <c r="G59" s="142">
        <f t="shared" si="8"/>
        <v>0</v>
      </c>
    </row>
    <row r="60" spans="1:7" x14ac:dyDescent="0.25">
      <c r="A60" s="1"/>
      <c r="B60" s="156">
        <f t="shared" si="6"/>
        <v>25</v>
      </c>
      <c r="C60" s="156">
        <v>3</v>
      </c>
      <c r="D60" s="157">
        <f t="shared" si="5"/>
        <v>0</v>
      </c>
      <c r="E60" s="142">
        <f t="shared" si="7"/>
        <v>0</v>
      </c>
      <c r="F60" s="49"/>
      <c r="G60" s="142">
        <f t="shared" si="8"/>
        <v>0</v>
      </c>
    </row>
    <row r="61" spans="1:7" x14ac:dyDescent="0.25">
      <c r="A61" s="1"/>
      <c r="B61" s="156">
        <f t="shared" si="6"/>
        <v>26</v>
      </c>
      <c r="C61" s="156">
        <v>3</v>
      </c>
      <c r="D61" s="157">
        <f t="shared" si="5"/>
        <v>0</v>
      </c>
      <c r="E61" s="142">
        <f t="shared" si="7"/>
        <v>0</v>
      </c>
      <c r="F61" s="49"/>
      <c r="G61" s="142">
        <f t="shared" si="8"/>
        <v>0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1BEE8-6B91-497D-B046-F768DA8B881E}">
  <dimension ref="B2:I47"/>
  <sheetViews>
    <sheetView showGridLines="0" zoomScale="75" zoomScaleNormal="75" workbookViewId="0">
      <selection activeCell="F1" sqref="F1"/>
    </sheetView>
  </sheetViews>
  <sheetFormatPr baseColWidth="10" defaultRowHeight="15" x14ac:dyDescent="0.25"/>
  <cols>
    <col min="2" max="3" width="13.42578125" customWidth="1"/>
    <col min="4" max="4" width="12.85546875" customWidth="1"/>
    <col min="5" max="5" width="14.140625" style="47" customWidth="1"/>
    <col min="7" max="8" width="13" customWidth="1"/>
    <col min="9" max="9" width="13.28515625" customWidth="1"/>
  </cols>
  <sheetData>
    <row r="2" spans="2:9" ht="28.5" customHeight="1" x14ac:dyDescent="0.25">
      <c r="B2" s="66" t="s">
        <v>61</v>
      </c>
      <c r="C2" s="66" t="s">
        <v>62</v>
      </c>
      <c r="D2" s="66" t="s">
        <v>63</v>
      </c>
      <c r="E2" s="66" t="s">
        <v>64</v>
      </c>
      <c r="F2" s="66" t="s">
        <v>65</v>
      </c>
      <c r="G2" s="577" t="s">
        <v>66</v>
      </c>
      <c r="H2" s="578"/>
      <c r="I2" s="579"/>
    </row>
    <row r="3" spans="2:9" x14ac:dyDescent="0.25">
      <c r="B3" s="580" t="s">
        <v>67</v>
      </c>
      <c r="C3" s="580" t="s">
        <v>68</v>
      </c>
      <c r="D3" s="580" t="s">
        <v>244</v>
      </c>
      <c r="E3" s="580" t="s">
        <v>69</v>
      </c>
      <c r="F3" s="580" t="s">
        <v>17</v>
      </c>
      <c r="G3" s="577" t="s">
        <v>70</v>
      </c>
      <c r="H3" s="582"/>
      <c r="I3" s="579"/>
    </row>
    <row r="4" spans="2:9" x14ac:dyDescent="0.25">
      <c r="B4" s="581"/>
      <c r="C4" s="581"/>
      <c r="D4" s="581"/>
      <c r="E4" s="581"/>
      <c r="F4" s="581"/>
      <c r="G4" s="144">
        <v>0</v>
      </c>
      <c r="H4" s="144">
        <v>5</v>
      </c>
      <c r="I4" s="144">
        <v>10</v>
      </c>
    </row>
    <row r="5" spans="2:9" x14ac:dyDescent="0.25">
      <c r="B5" s="67">
        <v>0</v>
      </c>
      <c r="C5" s="68">
        <v>999.82</v>
      </c>
      <c r="D5" s="69">
        <v>1.792E-3</v>
      </c>
      <c r="E5" s="70">
        <f>D5/C5</f>
        <v>1.7923226180712527E-6</v>
      </c>
      <c r="F5" s="68">
        <v>0.61099999999999999</v>
      </c>
      <c r="G5" s="68">
        <v>14.6</v>
      </c>
      <c r="H5" s="68">
        <v>14.11</v>
      </c>
      <c r="I5" s="68">
        <v>13.64</v>
      </c>
    </row>
    <row r="6" spans="2:9" x14ac:dyDescent="0.25">
      <c r="B6" s="67">
        <f>B5+1</f>
        <v>1</v>
      </c>
      <c r="C6" s="68">
        <v>999.89</v>
      </c>
      <c r="D6" s="69">
        <v>1.7309999999999999E-3</v>
      </c>
      <c r="E6" s="70">
        <f t="shared" ref="E6:E45" si="0">D6/C6</f>
        <v>1.7311904309474041E-6</v>
      </c>
      <c r="F6" s="68">
        <v>0.65700000000000003</v>
      </c>
      <c r="G6" s="68">
        <v>14.2</v>
      </c>
      <c r="H6" s="68">
        <v>13.73</v>
      </c>
      <c r="I6" s="68">
        <v>13.27</v>
      </c>
    </row>
    <row r="7" spans="2:9" x14ac:dyDescent="0.25">
      <c r="B7" s="67">
        <f t="shared" ref="B7:B45" si="1">B6+1</f>
        <v>2</v>
      </c>
      <c r="C7" s="68">
        <v>999.94</v>
      </c>
      <c r="D7" s="69">
        <v>1.6739999999999999E-3</v>
      </c>
      <c r="E7" s="70">
        <f t="shared" si="0"/>
        <v>1.6741004460267615E-6</v>
      </c>
      <c r="F7" s="68">
        <v>0.70499999999999996</v>
      </c>
      <c r="G7" s="68">
        <v>13.81</v>
      </c>
      <c r="H7" s="68">
        <v>13.36</v>
      </c>
      <c r="I7" s="68">
        <v>12.91</v>
      </c>
    </row>
    <row r="8" spans="2:9" x14ac:dyDescent="0.25">
      <c r="B8" s="67">
        <f t="shared" si="1"/>
        <v>3</v>
      </c>
      <c r="C8" s="68">
        <v>999.98</v>
      </c>
      <c r="D8" s="69">
        <v>1.6199999999999999E-3</v>
      </c>
      <c r="E8" s="70">
        <f t="shared" si="0"/>
        <v>1.6200324006480128E-6</v>
      </c>
      <c r="F8" s="68">
        <v>0.75700000000000001</v>
      </c>
      <c r="G8" s="68">
        <v>13.45</v>
      </c>
      <c r="H8" s="68">
        <v>13</v>
      </c>
      <c r="I8" s="68">
        <v>12.58</v>
      </c>
    </row>
    <row r="9" spans="2:9" x14ac:dyDescent="0.25">
      <c r="B9" s="67">
        <f t="shared" si="1"/>
        <v>4</v>
      </c>
      <c r="C9" s="68">
        <v>1000</v>
      </c>
      <c r="D9" s="69">
        <v>1.5690000000000001E-3</v>
      </c>
      <c r="E9" s="70">
        <f t="shared" si="0"/>
        <v>1.5690000000000001E-6</v>
      </c>
      <c r="F9" s="68">
        <v>0.81299999999999994</v>
      </c>
      <c r="G9" s="68">
        <v>13.09</v>
      </c>
      <c r="H9" s="68">
        <v>12.67</v>
      </c>
      <c r="I9" s="68">
        <v>12.25</v>
      </c>
    </row>
    <row r="10" spans="2:9" x14ac:dyDescent="0.25">
      <c r="B10" s="67">
        <f t="shared" si="1"/>
        <v>5</v>
      </c>
      <c r="C10" s="68">
        <v>1000</v>
      </c>
      <c r="D10" s="69">
        <v>1.5200000000000001E-3</v>
      </c>
      <c r="E10" s="70">
        <f t="shared" si="0"/>
        <v>1.5200000000000001E-6</v>
      </c>
      <c r="F10" s="68">
        <v>0.872</v>
      </c>
      <c r="G10" s="68">
        <v>12.76</v>
      </c>
      <c r="H10" s="68">
        <v>12.34</v>
      </c>
      <c r="I10" s="68">
        <v>11.94</v>
      </c>
    </row>
    <row r="11" spans="2:9" x14ac:dyDescent="0.25">
      <c r="B11" s="67">
        <f t="shared" si="1"/>
        <v>6</v>
      </c>
      <c r="C11" s="68">
        <v>999.99</v>
      </c>
      <c r="D11" s="69">
        <v>1.4729999999999999E-3</v>
      </c>
      <c r="E11" s="70">
        <f t="shared" si="0"/>
        <v>1.4730147301473013E-6</v>
      </c>
      <c r="F11" s="68">
        <v>0.93500000000000005</v>
      </c>
      <c r="G11" s="68">
        <v>12.44</v>
      </c>
      <c r="H11" s="68">
        <v>12.04</v>
      </c>
      <c r="I11" s="68">
        <v>11.65</v>
      </c>
    </row>
    <row r="12" spans="2:9" x14ac:dyDescent="0.25">
      <c r="B12" s="67">
        <f t="shared" si="1"/>
        <v>7</v>
      </c>
      <c r="C12" s="68">
        <v>999.96</v>
      </c>
      <c r="D12" s="69">
        <v>1.4289999999999999E-3</v>
      </c>
      <c r="E12" s="70">
        <f t="shared" si="0"/>
        <v>1.4290571622864914E-6</v>
      </c>
      <c r="F12" s="68">
        <v>1.0009999999999999</v>
      </c>
      <c r="G12" s="68">
        <v>12.13</v>
      </c>
      <c r="H12" s="68">
        <v>11.74</v>
      </c>
      <c r="I12" s="68">
        <v>11.37</v>
      </c>
    </row>
    <row r="13" spans="2:9" x14ac:dyDescent="0.25">
      <c r="B13" s="67">
        <f t="shared" si="1"/>
        <v>8</v>
      </c>
      <c r="C13" s="68">
        <v>999.91</v>
      </c>
      <c r="D13" s="69">
        <v>1.3860000000000001E-3</v>
      </c>
      <c r="E13" s="70">
        <f t="shared" si="0"/>
        <v>1.3861247512276105E-6</v>
      </c>
      <c r="F13" s="68">
        <v>1.0720000000000001</v>
      </c>
      <c r="G13" s="68">
        <v>11.83</v>
      </c>
      <c r="H13" s="68">
        <v>11.46</v>
      </c>
      <c r="I13" s="68">
        <v>11.09</v>
      </c>
    </row>
    <row r="14" spans="2:9" x14ac:dyDescent="0.25">
      <c r="B14" s="67">
        <f t="shared" si="1"/>
        <v>9</v>
      </c>
      <c r="C14" s="68">
        <v>999.85</v>
      </c>
      <c r="D14" s="69">
        <v>1.346E-3</v>
      </c>
      <c r="E14" s="70">
        <f t="shared" si="0"/>
        <v>1.3462019302895433E-6</v>
      </c>
      <c r="F14" s="68">
        <v>1.147</v>
      </c>
      <c r="G14" s="68">
        <v>11.55</v>
      </c>
      <c r="H14" s="68">
        <v>11.19</v>
      </c>
      <c r="I14" s="68">
        <v>10.83</v>
      </c>
    </row>
    <row r="15" spans="2:9" x14ac:dyDescent="0.25">
      <c r="B15" s="67">
        <f t="shared" si="1"/>
        <v>10</v>
      </c>
      <c r="C15" s="68">
        <v>999.77</v>
      </c>
      <c r="D15" s="69">
        <v>1.3079999999999999E-3</v>
      </c>
      <c r="E15" s="70">
        <f t="shared" si="0"/>
        <v>1.3083009092091181E-6</v>
      </c>
      <c r="F15" s="68">
        <v>1.2270000000000001</v>
      </c>
      <c r="G15" s="68">
        <v>11.28</v>
      </c>
      <c r="H15" s="68">
        <v>10.92</v>
      </c>
      <c r="I15" s="68">
        <v>10.58</v>
      </c>
    </row>
    <row r="16" spans="2:9" x14ac:dyDescent="0.25">
      <c r="B16" s="67">
        <f t="shared" si="1"/>
        <v>11</v>
      </c>
      <c r="C16" s="68">
        <v>999.68</v>
      </c>
      <c r="D16" s="69">
        <v>1.271E-3</v>
      </c>
      <c r="E16" s="70">
        <f t="shared" si="0"/>
        <v>1.2714068501920614E-6</v>
      </c>
      <c r="F16" s="68">
        <v>1.3120000000000001</v>
      </c>
      <c r="G16" s="68">
        <v>11.02</v>
      </c>
      <c r="H16" s="68">
        <v>10.67</v>
      </c>
      <c r="I16" s="68">
        <v>10.34</v>
      </c>
    </row>
    <row r="17" spans="2:9" x14ac:dyDescent="0.25">
      <c r="B17" s="67">
        <f t="shared" si="1"/>
        <v>12</v>
      </c>
      <c r="C17" s="68">
        <v>999.58</v>
      </c>
      <c r="D17" s="69">
        <v>1.2359999999999999E-3</v>
      </c>
      <c r="E17" s="70">
        <f t="shared" si="0"/>
        <v>1.2365193381220111E-6</v>
      </c>
      <c r="F17" s="68">
        <v>1.4019999999999999</v>
      </c>
      <c r="G17" s="68">
        <v>10.77</v>
      </c>
      <c r="H17" s="68">
        <v>10.43</v>
      </c>
      <c r="I17" s="68">
        <v>10.11</v>
      </c>
    </row>
    <row r="18" spans="2:9" x14ac:dyDescent="0.25">
      <c r="B18" s="67">
        <f t="shared" si="1"/>
        <v>13</v>
      </c>
      <c r="C18" s="68">
        <v>999.46</v>
      </c>
      <c r="D18" s="69">
        <v>1.2019999999999999E-3</v>
      </c>
      <c r="E18" s="70">
        <f t="shared" si="0"/>
        <v>1.2026494306925738E-6</v>
      </c>
      <c r="F18" s="68">
        <v>1.4970000000000001</v>
      </c>
      <c r="G18" s="68">
        <v>10.53</v>
      </c>
      <c r="H18" s="68">
        <v>10.199999999999999</v>
      </c>
      <c r="I18" s="68">
        <v>9.89</v>
      </c>
    </row>
    <row r="19" spans="2:9" x14ac:dyDescent="0.25">
      <c r="B19" s="67">
        <f t="shared" si="1"/>
        <v>14</v>
      </c>
      <c r="C19" s="68">
        <v>999.33</v>
      </c>
      <c r="D19" s="69">
        <v>1.17E-3</v>
      </c>
      <c r="E19" s="70">
        <f t="shared" si="0"/>
        <v>1.1707844255651285E-6</v>
      </c>
      <c r="F19" s="68">
        <v>1.597</v>
      </c>
      <c r="G19" s="68">
        <v>10.29</v>
      </c>
      <c r="H19" s="68">
        <v>9.98</v>
      </c>
      <c r="I19" s="68">
        <v>9.68</v>
      </c>
    </row>
    <row r="20" spans="2:9" x14ac:dyDescent="0.25">
      <c r="B20" s="67">
        <f t="shared" si="1"/>
        <v>15</v>
      </c>
      <c r="C20" s="68">
        <v>999.19</v>
      </c>
      <c r="D20" s="69">
        <v>1.139E-3</v>
      </c>
      <c r="E20" s="70">
        <f t="shared" si="0"/>
        <v>1.1399233379037019E-6</v>
      </c>
      <c r="F20" s="68">
        <v>1.704</v>
      </c>
      <c r="G20" s="68">
        <v>10.07</v>
      </c>
      <c r="H20" s="68">
        <v>9.77</v>
      </c>
      <c r="I20" s="68">
        <v>9.4700000000000006</v>
      </c>
    </row>
    <row r="21" spans="2:9" x14ac:dyDescent="0.25">
      <c r="B21" s="67">
        <f t="shared" si="1"/>
        <v>16</v>
      </c>
      <c r="C21" s="68">
        <v>999.03</v>
      </c>
      <c r="D21" s="69">
        <v>1.109E-3</v>
      </c>
      <c r="E21" s="70">
        <f t="shared" si="0"/>
        <v>1.110076774471237E-6</v>
      </c>
      <c r="F21" s="68">
        <v>1.8169999999999999</v>
      </c>
      <c r="G21" s="68">
        <v>9.86</v>
      </c>
      <c r="H21" s="68">
        <v>9.56</v>
      </c>
      <c r="I21" s="68">
        <v>9.2799999999999994</v>
      </c>
    </row>
    <row r="22" spans="2:9" x14ac:dyDescent="0.25">
      <c r="B22" s="67">
        <f t="shared" si="1"/>
        <v>17</v>
      </c>
      <c r="C22" s="68">
        <v>998.86</v>
      </c>
      <c r="D22" s="69">
        <v>1.0809999999999999E-3</v>
      </c>
      <c r="E22" s="70">
        <f t="shared" si="0"/>
        <v>1.0822337464709768E-6</v>
      </c>
      <c r="F22" s="68">
        <v>1.9359999999999999</v>
      </c>
      <c r="G22" s="68">
        <v>9.65</v>
      </c>
      <c r="H22" s="68">
        <v>9.36</v>
      </c>
      <c r="I22" s="68">
        <v>9.09</v>
      </c>
    </row>
    <row r="23" spans="2:9" x14ac:dyDescent="0.25">
      <c r="B23" s="67">
        <f t="shared" si="1"/>
        <v>18</v>
      </c>
      <c r="C23" s="68">
        <v>998.68</v>
      </c>
      <c r="D23" s="69">
        <v>1.054E-3</v>
      </c>
      <c r="E23" s="70">
        <f t="shared" si="0"/>
        <v>1.0553931189169705E-6</v>
      </c>
      <c r="F23" s="68">
        <v>2.0630000000000002</v>
      </c>
      <c r="G23" s="68">
        <v>9.4499999999999993</v>
      </c>
      <c r="H23" s="68">
        <v>9.17</v>
      </c>
      <c r="I23" s="68">
        <v>8.9</v>
      </c>
    </row>
    <row r="24" spans="2:9" x14ac:dyDescent="0.25">
      <c r="B24" s="67">
        <f t="shared" si="1"/>
        <v>19</v>
      </c>
      <c r="C24" s="68">
        <v>998.49</v>
      </c>
      <c r="D24" s="69">
        <v>1.0280000000000001E-3</v>
      </c>
      <c r="E24" s="70">
        <f t="shared" si="0"/>
        <v>1.0295546274875061E-6</v>
      </c>
      <c r="F24" s="68">
        <v>2.1960000000000002</v>
      </c>
      <c r="G24" s="68">
        <v>9.26</v>
      </c>
      <c r="H24" s="68">
        <v>8.99</v>
      </c>
      <c r="I24" s="68">
        <v>8.73</v>
      </c>
    </row>
    <row r="25" spans="2:9" x14ac:dyDescent="0.25">
      <c r="B25" s="67">
        <f t="shared" si="1"/>
        <v>20</v>
      </c>
      <c r="C25" s="68">
        <v>998.29</v>
      </c>
      <c r="D25" s="69">
        <v>1.003E-3</v>
      </c>
      <c r="E25" s="70">
        <f t="shared" si="0"/>
        <v>1.0047180678961023E-6</v>
      </c>
      <c r="F25" s="68">
        <v>2.3370000000000002</v>
      </c>
      <c r="G25" s="68">
        <v>9.08</v>
      </c>
      <c r="H25" s="68">
        <v>8.81</v>
      </c>
      <c r="I25" s="68">
        <v>8.56</v>
      </c>
    </row>
    <row r="26" spans="2:9" x14ac:dyDescent="0.25">
      <c r="B26" s="67">
        <f t="shared" si="1"/>
        <v>21</v>
      </c>
      <c r="C26" s="68">
        <v>998.08</v>
      </c>
      <c r="D26" s="69">
        <v>9.7900000000000005E-4</v>
      </c>
      <c r="E26" s="70">
        <f t="shared" si="0"/>
        <v>9.8088329592818217E-7</v>
      </c>
      <c r="F26" s="68">
        <v>2.4860000000000002</v>
      </c>
      <c r="G26" s="68">
        <v>8.9</v>
      </c>
      <c r="H26" s="68">
        <v>8.64</v>
      </c>
      <c r="I26" s="68">
        <v>8.39</v>
      </c>
    </row>
    <row r="27" spans="2:9" x14ac:dyDescent="0.25">
      <c r="B27" s="67">
        <f t="shared" si="1"/>
        <v>22</v>
      </c>
      <c r="C27" s="68">
        <v>997.86</v>
      </c>
      <c r="D27" s="69">
        <v>9.5500000000000001E-4</v>
      </c>
      <c r="E27" s="70">
        <f t="shared" si="0"/>
        <v>9.5704808289740053E-7</v>
      </c>
      <c r="F27" s="68">
        <v>2.6419999999999999</v>
      </c>
      <c r="G27" s="68">
        <v>8.73</v>
      </c>
      <c r="H27" s="68">
        <v>8.48</v>
      </c>
      <c r="I27" s="68">
        <v>8.23</v>
      </c>
    </row>
    <row r="28" spans="2:9" x14ac:dyDescent="0.25">
      <c r="B28" s="67">
        <f t="shared" si="1"/>
        <v>23</v>
      </c>
      <c r="C28" s="68">
        <v>997.62</v>
      </c>
      <c r="D28" s="69">
        <v>9.3300000000000002E-4</v>
      </c>
      <c r="E28" s="70">
        <f t="shared" si="0"/>
        <v>9.3522583749323393E-7</v>
      </c>
      <c r="F28" s="68">
        <v>2.8079999999999998</v>
      </c>
      <c r="G28" s="68">
        <v>8.56</v>
      </c>
      <c r="H28" s="68">
        <v>8.32</v>
      </c>
      <c r="I28" s="68">
        <v>8.08</v>
      </c>
    </row>
    <row r="29" spans="2:9" x14ac:dyDescent="0.25">
      <c r="B29" s="67">
        <f t="shared" si="1"/>
        <v>24</v>
      </c>
      <c r="C29" s="68">
        <v>997.38</v>
      </c>
      <c r="D29" s="69">
        <v>9.1100000000000003E-4</v>
      </c>
      <c r="E29" s="70">
        <f t="shared" si="0"/>
        <v>9.1339308989552636E-7</v>
      </c>
      <c r="F29" s="68">
        <v>2.9820000000000002</v>
      </c>
      <c r="G29" s="68">
        <v>8.4</v>
      </c>
      <c r="H29" s="68">
        <v>8.16</v>
      </c>
      <c r="I29" s="68">
        <v>7.93</v>
      </c>
    </row>
    <row r="30" spans="2:9" x14ac:dyDescent="0.25">
      <c r="B30" s="67">
        <f t="shared" si="1"/>
        <v>25</v>
      </c>
      <c r="C30" s="68">
        <v>997.13</v>
      </c>
      <c r="D30" s="69">
        <v>8.9099999999999997E-4</v>
      </c>
      <c r="E30" s="70">
        <f t="shared" si="0"/>
        <v>8.9356453020167885E-7</v>
      </c>
      <c r="F30" s="68">
        <v>3.1659999999999999</v>
      </c>
      <c r="G30" s="68">
        <v>8.24</v>
      </c>
      <c r="H30" s="68">
        <v>8.01</v>
      </c>
      <c r="I30" s="68">
        <v>7.79</v>
      </c>
    </row>
    <row r="31" spans="2:9" x14ac:dyDescent="0.25">
      <c r="B31" s="67">
        <f t="shared" si="1"/>
        <v>26</v>
      </c>
      <c r="C31" s="68">
        <v>996.86</v>
      </c>
      <c r="D31" s="69">
        <v>8.7100000000000003E-4</v>
      </c>
      <c r="E31" s="70">
        <f t="shared" si="0"/>
        <v>8.7374355476195253E-7</v>
      </c>
      <c r="F31" s="68">
        <v>3.36</v>
      </c>
      <c r="G31" s="68">
        <v>8.09</v>
      </c>
      <c r="H31" s="68">
        <v>7.87</v>
      </c>
      <c r="I31" s="68">
        <v>7.65</v>
      </c>
    </row>
    <row r="32" spans="2:9" x14ac:dyDescent="0.25">
      <c r="B32" s="67">
        <f t="shared" si="1"/>
        <v>27</v>
      </c>
      <c r="C32" s="68">
        <v>996.59</v>
      </c>
      <c r="D32" s="69">
        <v>8.52E-4</v>
      </c>
      <c r="E32" s="70">
        <f t="shared" si="0"/>
        <v>8.5491526104014687E-7</v>
      </c>
      <c r="F32" s="68">
        <v>3.5640000000000001</v>
      </c>
      <c r="G32" s="68">
        <v>7.95</v>
      </c>
      <c r="H32" s="68">
        <v>7.73</v>
      </c>
      <c r="I32" s="68">
        <v>7.51</v>
      </c>
    </row>
    <row r="33" spans="2:9" x14ac:dyDescent="0.25">
      <c r="B33" s="67">
        <f t="shared" si="1"/>
        <v>28</v>
      </c>
      <c r="C33" s="68">
        <v>996.31</v>
      </c>
      <c r="D33" s="69">
        <v>8.3299999999999997E-4</v>
      </c>
      <c r="E33" s="70">
        <f t="shared" si="0"/>
        <v>8.3608515421906841E-7</v>
      </c>
      <c r="F33" s="68">
        <v>3.7789999999999999</v>
      </c>
      <c r="G33" s="68">
        <v>7.81</v>
      </c>
      <c r="H33" s="68">
        <v>7.59</v>
      </c>
      <c r="I33" s="68">
        <v>7.38</v>
      </c>
    </row>
    <row r="34" spans="2:9" x14ac:dyDescent="0.25">
      <c r="B34" s="67">
        <f t="shared" si="1"/>
        <v>29</v>
      </c>
      <c r="C34" s="68">
        <v>996.02</v>
      </c>
      <c r="D34" s="69">
        <v>8.1499999999999997E-4</v>
      </c>
      <c r="E34" s="70">
        <f t="shared" si="0"/>
        <v>8.1825666151282104E-7</v>
      </c>
      <c r="F34" s="68">
        <v>4.0039999999999996</v>
      </c>
      <c r="G34" s="68">
        <v>7.67</v>
      </c>
      <c r="H34" s="68">
        <v>7.46</v>
      </c>
      <c r="I34" s="68">
        <v>7.26</v>
      </c>
    </row>
    <row r="35" spans="2:9" x14ac:dyDescent="0.25">
      <c r="B35" s="67">
        <f t="shared" si="1"/>
        <v>30</v>
      </c>
      <c r="C35" s="68">
        <v>995.71</v>
      </c>
      <c r="D35" s="69">
        <v>7.9799999999999999E-4</v>
      </c>
      <c r="E35" s="70">
        <f t="shared" si="0"/>
        <v>8.0143816974821981E-7</v>
      </c>
      <c r="F35" s="68">
        <v>4.242</v>
      </c>
      <c r="G35" s="68">
        <v>7.54</v>
      </c>
      <c r="H35" s="68">
        <v>7.33</v>
      </c>
      <c r="I35" s="68">
        <v>7.14</v>
      </c>
    </row>
    <row r="36" spans="2:9" x14ac:dyDescent="0.25">
      <c r="B36" s="67">
        <f t="shared" si="1"/>
        <v>31</v>
      </c>
      <c r="C36" s="68">
        <v>995.41</v>
      </c>
      <c r="D36" s="69">
        <v>7.8100000000000001E-4</v>
      </c>
      <c r="E36" s="70">
        <f t="shared" si="0"/>
        <v>7.8460132005907112E-7</v>
      </c>
      <c r="F36" s="68">
        <v>4.4909999999999997</v>
      </c>
      <c r="G36" s="68">
        <v>7.41</v>
      </c>
      <c r="H36" s="68">
        <v>7.21</v>
      </c>
      <c r="I36" s="68">
        <v>7.02</v>
      </c>
    </row>
    <row r="37" spans="2:9" x14ac:dyDescent="0.25">
      <c r="B37" s="67">
        <f t="shared" si="1"/>
        <v>32</v>
      </c>
      <c r="C37" s="68">
        <v>995.09</v>
      </c>
      <c r="D37" s="69">
        <v>7.6499999999999995E-4</v>
      </c>
      <c r="E37" s="70">
        <f t="shared" si="0"/>
        <v>7.6877468369695196E-7</v>
      </c>
      <c r="F37" s="68">
        <v>4.7539999999999996</v>
      </c>
      <c r="G37" s="68">
        <v>7.29</v>
      </c>
      <c r="H37" s="68">
        <v>7.09</v>
      </c>
      <c r="I37" s="68">
        <v>6.9</v>
      </c>
    </row>
    <row r="38" spans="2:9" x14ac:dyDescent="0.25">
      <c r="B38" s="67">
        <f t="shared" si="1"/>
        <v>33</v>
      </c>
      <c r="C38" s="68">
        <v>994.76</v>
      </c>
      <c r="D38" s="69">
        <v>7.4899999999999999E-4</v>
      </c>
      <c r="E38" s="70">
        <f t="shared" si="0"/>
        <v>7.5294543407455063E-7</v>
      </c>
      <c r="F38" s="68">
        <v>5.0289999999999999</v>
      </c>
      <c r="G38" s="68">
        <v>7.17</v>
      </c>
      <c r="H38" s="68">
        <v>6.98</v>
      </c>
      <c r="I38" s="68">
        <v>6.79</v>
      </c>
    </row>
    <row r="39" spans="2:9" x14ac:dyDescent="0.25">
      <c r="B39" s="67">
        <f t="shared" si="1"/>
        <v>34</v>
      </c>
      <c r="C39" s="68">
        <v>994.43</v>
      </c>
      <c r="D39" s="69">
        <v>7.3399999999999995E-4</v>
      </c>
      <c r="E39" s="70">
        <f t="shared" si="0"/>
        <v>7.3811127982864557E-7</v>
      </c>
      <c r="F39" s="68">
        <v>5.3179999999999996</v>
      </c>
      <c r="G39" s="68">
        <v>7.05</v>
      </c>
      <c r="H39" s="68">
        <v>6.86</v>
      </c>
      <c r="I39" s="68">
        <v>6.68</v>
      </c>
    </row>
    <row r="40" spans="2:9" x14ac:dyDescent="0.25">
      <c r="B40" s="67">
        <f t="shared" si="1"/>
        <v>35</v>
      </c>
      <c r="C40" s="68">
        <v>994.08</v>
      </c>
      <c r="D40" s="69">
        <v>7.2000000000000005E-4</v>
      </c>
      <c r="E40" s="70">
        <f t="shared" si="0"/>
        <v>7.2428778367938198E-7</v>
      </c>
      <c r="F40" s="68">
        <v>5.6219999999999999</v>
      </c>
      <c r="G40" s="68">
        <v>6.93</v>
      </c>
      <c r="H40" s="68">
        <v>6.75</v>
      </c>
      <c r="I40" s="68">
        <v>6.58</v>
      </c>
    </row>
    <row r="41" spans="2:9" x14ac:dyDescent="0.25">
      <c r="B41" s="67">
        <f t="shared" si="1"/>
        <v>36</v>
      </c>
      <c r="C41" s="68">
        <v>993.73</v>
      </c>
      <c r="D41" s="69">
        <v>7.0500000000000001E-4</v>
      </c>
      <c r="E41" s="70">
        <f t="shared" si="0"/>
        <v>7.0944824046773266E-7</v>
      </c>
      <c r="F41" s="68">
        <v>5.94</v>
      </c>
      <c r="G41" s="68">
        <v>6.82</v>
      </c>
      <c r="H41" s="68">
        <v>6.65</v>
      </c>
      <c r="I41" s="68">
        <v>6.47</v>
      </c>
    </row>
    <row r="42" spans="2:9" x14ac:dyDescent="0.25">
      <c r="B42" s="67">
        <f t="shared" si="1"/>
        <v>37</v>
      </c>
      <c r="C42" s="68">
        <v>993.37</v>
      </c>
      <c r="D42" s="69">
        <v>6.9200000000000002E-4</v>
      </c>
      <c r="E42" s="70">
        <f t="shared" si="0"/>
        <v>6.9661858119331165E-7</v>
      </c>
      <c r="F42" s="68">
        <v>6.274</v>
      </c>
      <c r="G42" s="68">
        <v>6.72</v>
      </c>
      <c r="H42" s="68">
        <v>6.54</v>
      </c>
      <c r="I42" s="68">
        <v>6.37</v>
      </c>
    </row>
    <row r="43" spans="2:9" x14ac:dyDescent="0.25">
      <c r="B43" s="67">
        <f t="shared" si="1"/>
        <v>38</v>
      </c>
      <c r="C43" s="68">
        <v>993</v>
      </c>
      <c r="D43" s="69">
        <v>6.78E-4</v>
      </c>
      <c r="E43" s="70">
        <f t="shared" si="0"/>
        <v>6.8277945619335344E-7</v>
      </c>
      <c r="F43" s="68">
        <v>6.6239999999999997</v>
      </c>
      <c r="G43" s="68">
        <v>6.61</v>
      </c>
      <c r="H43" s="68">
        <v>6.44</v>
      </c>
      <c r="I43" s="68">
        <v>6.28</v>
      </c>
    </row>
    <row r="44" spans="2:9" x14ac:dyDescent="0.25">
      <c r="B44" s="67">
        <f t="shared" si="1"/>
        <v>39</v>
      </c>
      <c r="C44" s="68">
        <v>992.63</v>
      </c>
      <c r="D44" s="69">
        <v>6.6600000000000003E-4</v>
      </c>
      <c r="E44" s="70">
        <f t="shared" si="0"/>
        <v>6.709448636450642E-7</v>
      </c>
      <c r="F44" s="68">
        <v>6.9909999999999997</v>
      </c>
      <c r="G44" s="68">
        <v>6.51</v>
      </c>
      <c r="H44" s="68">
        <v>6.34</v>
      </c>
      <c r="I44" s="68">
        <v>6.18</v>
      </c>
    </row>
    <row r="45" spans="2:9" x14ac:dyDescent="0.25">
      <c r="B45" s="67">
        <f t="shared" si="1"/>
        <v>40</v>
      </c>
      <c r="C45" s="68">
        <v>992.25</v>
      </c>
      <c r="D45" s="69">
        <v>6.5300000000000004E-4</v>
      </c>
      <c r="E45" s="70">
        <f t="shared" si="0"/>
        <v>6.5810027714789624E-7</v>
      </c>
      <c r="F45" s="68">
        <v>7.375</v>
      </c>
      <c r="G45" s="68">
        <v>6.41</v>
      </c>
      <c r="H45" s="68">
        <v>6.25</v>
      </c>
      <c r="I45" s="68">
        <v>6.09</v>
      </c>
    </row>
    <row r="46" spans="2:9" ht="29.25" customHeight="1" x14ac:dyDescent="0.25">
      <c r="B46" s="568" t="s">
        <v>71</v>
      </c>
      <c r="C46" s="569"/>
      <c r="D46" s="569"/>
      <c r="E46" s="569"/>
      <c r="F46" s="570"/>
      <c r="G46" s="571" t="s">
        <v>72</v>
      </c>
      <c r="H46" s="572"/>
      <c r="I46" s="573"/>
    </row>
    <row r="47" spans="2:9" x14ac:dyDescent="0.25">
      <c r="B47" s="71" t="s">
        <v>73</v>
      </c>
      <c r="C47" s="60"/>
      <c r="D47" s="60"/>
      <c r="E47" s="72"/>
      <c r="F47" s="61"/>
      <c r="G47" s="574"/>
      <c r="H47" s="575"/>
      <c r="I47" s="576"/>
    </row>
  </sheetData>
  <mergeCells count="9">
    <mergeCell ref="B46:F46"/>
    <mergeCell ref="G46:I47"/>
    <mergeCell ref="G2:I2"/>
    <mergeCell ref="B3:B4"/>
    <mergeCell ref="C3:C4"/>
    <mergeCell ref="D3:D4"/>
    <mergeCell ref="E3:E4"/>
    <mergeCell ref="F3:F4"/>
    <mergeCell ref="G3:I3"/>
  </mergeCells>
  <hyperlinks>
    <hyperlink ref="B47" r:id="rId1" xr:uid="{7C6A4232-FFC6-4A39-94D7-724CAC47114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Planta Pinbasa</vt:lpstr>
      <vt:lpstr>Lecho de Secado</vt:lpstr>
      <vt:lpstr>Tubería de Lodos</vt:lpstr>
      <vt:lpstr>Tubería de Llenado</vt:lpstr>
      <vt:lpstr>Agua- T°C</vt:lpstr>
    </vt:vector>
  </TitlesOfParts>
  <Company>ABC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2022-11-07T14:03:47Z</cp:lastPrinted>
  <dcterms:created xsi:type="dcterms:W3CDTF">2010-07-01T13:55:26Z</dcterms:created>
  <dcterms:modified xsi:type="dcterms:W3CDTF">2023-07-10T20:53:38Z</dcterms:modified>
</cp:coreProperties>
</file>